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진행중 공사\백은관, 취업지원센터 창호교체공사\"/>
    </mc:Choice>
  </mc:AlternateContent>
  <xr:revisionPtr revIDLastSave="0" documentId="13_ncr:1_{E5009BDE-50A1-4A7E-A7F3-06CE427DBB5B}" xr6:coauthVersionLast="47" xr6:coauthVersionMax="47" xr10:uidLastSave="{00000000-0000-0000-0000-000000000000}"/>
  <bookViews>
    <workbookView xWindow="1185" yWindow="645" windowWidth="27570" windowHeight="14970" xr2:uid="{00000000-000D-0000-FFFF-FFFF00000000}"/>
  </bookViews>
  <sheets>
    <sheet name="원가계산서" sheetId="2" r:id="rId1"/>
    <sheet name="공종별집계표" sheetId="3" r:id="rId2"/>
    <sheet name="공종별내역서(백은관)" sheetId="4" r:id="rId3"/>
    <sheet name="공종별내역서(취업지원센터)" sheetId="12" r:id="rId4"/>
    <sheet name="중기단가목록" sheetId="7" state="hidden" r:id="rId5"/>
    <sheet name="중기단가산출서" sheetId="8" state="hidden" r:id="rId6"/>
    <sheet name="단가대비표" sheetId="9" state="hidden" r:id="rId7"/>
    <sheet name="공사설정" sheetId="10" state="hidden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_LPB1">[1]부하계산서!#REF!</definedName>
    <definedName name="___LPK1">[1]부하계산서!#REF!</definedName>
    <definedName name="___LU1">'[2]부하(성남)'!#REF!</definedName>
    <definedName name="___LU2">'[2]부하(성남)'!#REF!</definedName>
    <definedName name="___LV01">'[2]부하(성남)'!#REF!</definedName>
    <definedName name="___UP1">[1]부하계산서!#REF!</definedName>
    <definedName name="___UP2">[1]부하계산서!#REF!</definedName>
    <definedName name="__LP2">#REF!</definedName>
    <definedName name="__LPB1">[1]부하계산서!#REF!</definedName>
    <definedName name="__LPK1">[1]부하계산서!#REF!</definedName>
    <definedName name="__LU1">'[2]부하(성남)'!#REF!</definedName>
    <definedName name="__LU2">'[2]부하(성남)'!#REF!</definedName>
    <definedName name="__LV01">'[2]부하(성남)'!#REF!</definedName>
    <definedName name="__UP1">[1]부하계산서!#REF!</definedName>
    <definedName name="__UP2">[1]부하계산서!#REF!</definedName>
    <definedName name="_1._PANEL_BD.__LP___1">#REF!</definedName>
    <definedName name="_1월">#REF!</definedName>
    <definedName name="_2._날_개_벽">#REF!</definedName>
    <definedName name="_2월">#REF!</definedName>
    <definedName name="_3월">#REF!</definedName>
    <definedName name="_4월">#REF!</definedName>
    <definedName name="_50억이상">[3]단위수량!#REF!</definedName>
    <definedName name="_5억원미만">[3]단위수량!#REF!</definedName>
    <definedName name="_5억이상_50억원미만">[3]단위수량!#REF!</definedName>
    <definedName name="_5월">#REF!</definedName>
    <definedName name="_6월">#REF!</definedName>
    <definedName name="_CDT2">#REF!</definedName>
    <definedName name="_Fill" hidden="1">[4]날개벽수량표!#REF!</definedName>
    <definedName name="_LP1">#REF!</definedName>
    <definedName name="_LP2">#REF!</definedName>
    <definedName name="_LPB1">[1]부하계산서!#REF!</definedName>
    <definedName name="_LPK1">[1]부하계산서!#REF!</definedName>
    <definedName name="_LU1">'[2]부하(성남)'!#REF!</definedName>
    <definedName name="_LU2">'[2]부하(성남)'!#REF!</definedName>
    <definedName name="_LV01">'[2]부하(성남)'!#REF!</definedName>
    <definedName name="_UP1">[1]부하계산서!#REF!</definedName>
    <definedName name="_UP2">[1]부하계산서!#REF!</definedName>
    <definedName name="\0">#N/A</definedName>
    <definedName name="\a">#N/A</definedName>
    <definedName name="\c">#N/A</definedName>
    <definedName name="\e">#N/A</definedName>
    <definedName name="\m">#N/A</definedName>
    <definedName name="\p">#N/A</definedName>
    <definedName name="\s">#N/A</definedName>
    <definedName name="\z">#N/A</definedName>
    <definedName name="a">[0]!집</definedName>
    <definedName name="AAAA">AAAAA</definedName>
    <definedName name="AAAAA">[0]!AAAAA</definedName>
    <definedName name="ART">#REF!</definedName>
    <definedName name="b">[0]!b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>#REF!</definedName>
    <definedName name="CALCD">#N/A</definedName>
    <definedName name="CALCE">#REF!</definedName>
    <definedName name="CELL">#REF!</definedName>
    <definedName name="_xlnm.Criteria">#REF!</definedName>
    <definedName name="Criteria_MI">#REF!</definedName>
    <definedName name="CRT">#REF!</definedName>
    <definedName name="D" localSheetId="3">BlankMacro1</definedName>
    <definedName name="D">BlankMacro1</definedName>
    <definedName name="_xlnm.Database">#REF!</definedName>
    <definedName name="dd" localSheetId="3">BlankMacro1</definedName>
    <definedName name="dd">BlankMacro1</definedName>
    <definedName name="DDD">#REF!</definedName>
    <definedName name="DDS" localSheetId="3">BlankMacro1</definedName>
    <definedName name="DDS">BlankMacro1</definedName>
    <definedName name="DDW" localSheetId="3">BlankMacro1</definedName>
    <definedName name="DDW">BlankMacro1</definedName>
    <definedName name="dhtn">#REF!</definedName>
    <definedName name="DKD" localSheetId="3">BlankMacro1</definedName>
    <definedName name="DKD">BlankMacro1</definedName>
    <definedName name="DKE" localSheetId="3">BlankMacro1</definedName>
    <definedName name="DKE">BlankMacro1</definedName>
    <definedName name="DS" localSheetId="3">BlankMacro1</definedName>
    <definedName name="DS">BlankMacro1</definedName>
    <definedName name="DWS" localSheetId="3">BlankMacro1</definedName>
    <definedName name="DWS">BlankMacro1</definedName>
    <definedName name="e">#REF!</definedName>
    <definedName name="EARCA">#N/A</definedName>
    <definedName name="EARCB">#N/A</definedName>
    <definedName name="EB">#REF!</definedName>
    <definedName name="EDT">#N/A</definedName>
    <definedName name="EE">#REF!</definedName>
    <definedName name="ELG">#REF!</definedName>
    <definedName name="EXE" localSheetId="3">BlankMacro1</definedName>
    <definedName name="EXE">BlankMacro1</definedName>
    <definedName name="f">[0]!f</definedName>
    <definedName name="FILENAME">#REF!</definedName>
    <definedName name="g">[0]!g</definedName>
    <definedName name="GG" localSheetId="3">BlankMacro1</definedName>
    <definedName name="GG">BlankMacro1</definedName>
    <definedName name="GGG" localSheetId="3">BlankMacro1</definedName>
    <definedName name="GGG">BlankMacro1</definedName>
    <definedName name="h">[0]!h</definedName>
    <definedName name="j">[0]!j</definedName>
    <definedName name="jhj">#REF!</definedName>
    <definedName name="k">[0]!k</definedName>
    <definedName name="KA">'[5]조도계산서 (도서)'!$B$61:$E$68</definedName>
    <definedName name="l">[0]!l</definedName>
    <definedName name="LP1A">'[2]부하(성남)'!#REF!</definedName>
    <definedName name="LP1B">[1]부하계산서!#REF!</definedName>
    <definedName name="LP3A">'[2]부하(성남)'!#REF!</definedName>
    <definedName name="LPB">'[2]부하(성남)'!#REF!</definedName>
    <definedName name="LPBA">[1]부하계산서!#REF!</definedName>
    <definedName name="LPKA">[1]부하계산서!#REF!</definedName>
    <definedName name="LPKB">[1]부하계산서!#REF!</definedName>
    <definedName name="LPM">[1]부하계산서!#REF!</definedName>
    <definedName name="LPMA">[1]부하계산서!#REF!</definedName>
    <definedName name="LPO">[1]부하계산서!#REF!</definedName>
    <definedName name="LPOA">[1]부하계산서!#REF!</definedName>
    <definedName name="LV02A">[1]부하계산서!#REF!</definedName>
    <definedName name="LV02B">[1]부하계산서!#REF!</definedName>
    <definedName name="LV04A">[1]부하계산서!#REF!</definedName>
    <definedName name="LV04B">[1]부하계산서!#REF!</definedName>
    <definedName name="M">#N/A</definedName>
    <definedName name="MCCEA">[1]부하계산서!#REF!</definedName>
    <definedName name="MCCEB">[1]부하계산서!#REF!</definedName>
    <definedName name="MCCF">[1]부하계산서!#REF!</definedName>
    <definedName name="MCCN">'[2]부하(성남)'!#REF!</definedName>
    <definedName name="MCCP">[1]부하계산서!#REF!</definedName>
    <definedName name="MCCS">[1]부하계산서!#REF!</definedName>
    <definedName name="monitor">#REF!</definedName>
    <definedName name="n">[0]!n</definedName>
    <definedName name="NO.">#REF!</definedName>
    <definedName name="opp">[1]부하계산서!#REF!</definedName>
    <definedName name="PAC">#N/A</definedName>
    <definedName name="PACB">#N/A</definedName>
    <definedName name="PACC">#N/A</definedName>
    <definedName name="PACD">#N/A</definedName>
    <definedName name="PARCA">#N/A</definedName>
    <definedName name="PB">'[2]부하(성남)'!#REF!</definedName>
    <definedName name="PNLW10">[1]부하계산서!#REF!</definedName>
    <definedName name="PNLW8">[1]부하계산서!#REF!</definedName>
    <definedName name="PP">'[2]부하(성남)'!#REF!</definedName>
    <definedName name="ppii">[1]부하계산서!#REF!</definedName>
    <definedName name="_xlnm.Print_Area" localSheetId="2">'공종별내역서(백은관)'!$A$1:$M$85</definedName>
    <definedName name="_xlnm.Print_Area" localSheetId="3">'공종별내역서(취업지원센터)'!$A$1:$M$65</definedName>
    <definedName name="_xlnm.Print_Area" localSheetId="1">공종별집계표!$A$1:$M$27</definedName>
    <definedName name="_xlnm.Print_Area" localSheetId="0">원가계산서!$A$1:$G$34</definedName>
    <definedName name="_xlnm.Print_Area">#N/A</definedName>
    <definedName name="Print_Area_MI">[6]물가시세!#REF!</definedName>
    <definedName name="print_titil">#REF!</definedName>
    <definedName name="Print_Title">#REF!</definedName>
    <definedName name="_xlnm.Print_Titles" localSheetId="2">'공종별내역서(백은관)'!$1:$4</definedName>
    <definedName name="_xlnm.Print_Titles" localSheetId="3">'공종별내역서(취업지원센터)'!$1:$4</definedName>
    <definedName name="_xlnm.Print_Titles" localSheetId="1">공종별집계표!$1:$4</definedName>
    <definedName name="_xlnm.Print_Titles" localSheetId="0">원가계산서!$1:$3</definedName>
    <definedName name="_xlnm.Print_Titles" localSheetId="4">중기단가목록!$1:$3</definedName>
    <definedName name="_xlnm.Print_Titles" localSheetId="5">중기단가산출서!$1:$3</definedName>
    <definedName name="_xlnm.Print_Titles">#REF!</definedName>
    <definedName name="PRINTTITLES">#REF!</definedName>
    <definedName name="PRT">#N/A</definedName>
    <definedName name="Q" localSheetId="3">BlankMacro1</definedName>
    <definedName name="Q">BlankMacro1</definedName>
    <definedName name="QE" localSheetId="3">BlankMacro1</definedName>
    <definedName name="QE">BlankMacro1</definedName>
    <definedName name="QR" localSheetId="3">BlankMacro1</definedName>
    <definedName name="QR">BlankMacro1</definedName>
    <definedName name="QW" localSheetId="3">BlankMacro1</definedName>
    <definedName name="QW">BlankMacro1</definedName>
    <definedName name="QWE" localSheetId="3">BlankMacro1</definedName>
    <definedName name="QWE">BlankMacro1</definedName>
    <definedName name="_xlnm.Recorder">#REF!</definedName>
    <definedName name="s">#N/A</definedName>
    <definedName name="SAV">#N/A</definedName>
    <definedName name="size">#REF!</definedName>
    <definedName name="sum">#REF!</definedName>
    <definedName name="T" localSheetId="3">BlankMacro1</definedName>
    <definedName name="T">BlankMacro1</definedName>
    <definedName name="table_arch">#REF!</definedName>
    <definedName name="table_arch_sub">#REF!</definedName>
    <definedName name="table_elec">#REF!</definedName>
    <definedName name="table_elec_sub">#REF!</definedName>
    <definedName name="Text5">#REF!</definedName>
    <definedName name="TITLES_PRINT">#REF!</definedName>
    <definedName name="TOP">#N/A</definedName>
    <definedName name="UNITA">[1]부하계산서!#REF!</definedName>
    <definedName name="UNITAA">[1]부하계산서!#REF!</definedName>
    <definedName name="UNITB">[1]부하계산서!#REF!</definedName>
    <definedName name="UNITBB">[1]부하계산서!#REF!</definedName>
    <definedName name="UNITC">[1]부하계산서!#REF!</definedName>
    <definedName name="UNITC1">[1]부하계산서!#REF!</definedName>
    <definedName name="UNITCA">[1]부하계산서!#REF!</definedName>
    <definedName name="UNITD">[1]부하계산서!#REF!</definedName>
    <definedName name="UNITDA">[1]부하계산서!#REF!</definedName>
    <definedName name="UPSR">[1]부하계산서!#REF!</definedName>
    <definedName name="V" localSheetId="3">BlankMacro1</definedName>
    <definedName name="V">BlankMacro1</definedName>
    <definedName name="W" localSheetId="3">BlankMacro1</definedName>
    <definedName name="W">BlankMacro1</definedName>
    <definedName name="X" localSheetId="3">BlankMacro1</definedName>
    <definedName name="X">BlankMacro1</definedName>
    <definedName name="Y" localSheetId="3">BlankMacro1</definedName>
    <definedName name="Y">BlankMacro1</definedName>
    <definedName name="Z" localSheetId="3">BlankMacro1</definedName>
    <definedName name="Z">BlankMacro1</definedName>
    <definedName name="가" localSheetId="3">BlankMacro1</definedName>
    <definedName name="가">BlankMacro1</definedName>
    <definedName name="가가" localSheetId="3">BlankMacro1</definedName>
    <definedName name="가가">BlankMacro1</definedName>
    <definedName name="간접노무비">'[7]단가 (2)'!$H$6</definedName>
    <definedName name="감감">[0]!감감</definedName>
    <definedName name="감삼">[0]!감삼</definedName>
    <definedName name="개거수량">#REF!</definedName>
    <definedName name="건축총괄" localSheetId="3">BlankMacro1</definedName>
    <definedName name="건축총괄">BlankMacro1</definedName>
    <definedName name="견">'[8]총 원가계산'!#REF!</definedName>
    <definedName name="견적갑지">'[8]총 원가계산'!#REF!</definedName>
    <definedName name="공">#REF!</definedName>
    <definedName name="공급가액">'[7]단가 (2)'!$H$13</definedName>
    <definedName name="공사명">#REF!</definedName>
    <definedName name="공사비">'[7]단가 (2)'!$H$5</definedName>
    <definedName name="공사비_건축">#REF!</definedName>
    <definedName name="공사비_전기">#REF!</definedName>
    <definedName name="관급">#N/A</definedName>
    <definedName name="관급1">관급</definedName>
    <definedName name="관급2">관급2</definedName>
    <definedName name="관급자재2">[0]!관급자재2</definedName>
    <definedName name="관급자재대">관급자재대</definedName>
    <definedName name="관급자재비">'[7]단가 (2)'!$H$16</definedName>
    <definedName name="기타">#REF!</definedName>
    <definedName name="기타경비">'[7]단가 (2)'!$H$9</definedName>
    <definedName name="깬돌채취">[0]!깬돌채취</definedName>
    <definedName name="나" localSheetId="3">BlankMacro1</definedName>
    <definedName name="나">BlankMacro1</definedName>
    <definedName name="남덕" localSheetId="3">BlankMacro1</definedName>
    <definedName name="남덕">BlankMacro1</definedName>
    <definedName name="내역" localSheetId="3">BlankMacro1</definedName>
    <definedName name="내역">BlankMacro1</definedName>
    <definedName name="내역서1">#N/A</definedName>
    <definedName name="내역서다" localSheetId="3">BlankMacro1</definedName>
    <definedName name="내역서다">BlankMacro1</definedName>
    <definedName name="노출직부">#REF!</definedName>
    <definedName name="다" localSheetId="3">BlankMacro1</definedName>
    <definedName name="다">BlankMacro1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대지면적">#REF!</definedName>
    <definedName name="더다">#REF!</definedName>
    <definedName name="더닫">#REF!</definedName>
    <definedName name="더더더">#REF!</definedName>
    <definedName name="도급공사">'[7]단가 (2)'!$H$5</definedName>
    <definedName name="도급예산액">'[7]단가 (2)'!$H$15</definedName>
    <definedName name="도급예상액">'[7]단가 (2)'!$H$15</definedName>
    <definedName name="되메우기">[0]!되메우기</definedName>
    <definedName name="ㄹ">#REF!</definedName>
    <definedName name="라" localSheetId="3">BlankMacro1</definedName>
    <definedName name="라">BlankMacro1</definedName>
    <definedName name="레미콘수운반DT">[0]!레미콘수운반DT</definedName>
    <definedName name="ㅁ">ㅁ</definedName>
    <definedName name="ㅁ1">#REF!</definedName>
    <definedName name="ㅁ219">#REF!</definedName>
    <definedName name="ㅁ545">#REF!</definedName>
    <definedName name="ㅁㅁ">#REF!</definedName>
    <definedName name="ㅁㅁㅁ">#REF!</definedName>
    <definedName name="마" localSheetId="3">BlankMacro1</definedName>
    <definedName name="마">BlankMacro1</definedName>
    <definedName name="말" localSheetId="3">BlankMacro1</definedName>
    <definedName name="말">BlankMacro1</definedName>
    <definedName name="모래운반">[0]!모래운반</definedName>
    <definedName name="목공">#N/A</definedName>
    <definedName name="물가자료">#REF!</definedName>
    <definedName name="ㅂㅂ">'[2]부하(성남)'!#REF!</definedName>
    <definedName name="ㅂㅈㅈ">#REF!</definedName>
    <definedName name="바" localSheetId="3">BlankMacro1</definedName>
    <definedName name="바">BlankMacro1</definedName>
    <definedName name="방송" localSheetId="3">BlankMacro1</definedName>
    <definedName name="방송">BlankMacro1</definedName>
    <definedName name="부가가치세">'[7]단가 (2)'!$H$14</definedName>
    <definedName name="분전반" localSheetId="3">BlankMacro1</definedName>
    <definedName name="분전반">BlankMacro1</definedName>
    <definedName name="비목1">#REF!</definedName>
    <definedName name="비목2">#REF!</definedName>
    <definedName name="비목3">#REF!</definedName>
    <definedName name="비목4">#REF!</definedName>
    <definedName name="사" localSheetId="3">BlankMacro1</definedName>
    <definedName name="사">BlankMacro1</definedName>
    <definedName name="산재보험료">'[7]단가 (2)'!$H$7</definedName>
    <definedName name="산출2" localSheetId="3">BlankMacro1</definedName>
    <definedName name="산출2">BlankMacro1</definedName>
    <definedName name="상환금액">#REF!</definedName>
    <definedName name="설계내역서" localSheetId="3">BlankMacro1</definedName>
    <definedName name="설계내역서">BlankMacro1</definedName>
    <definedName name="설계서용지" localSheetId="3">BlankMacro1</definedName>
    <definedName name="설계서용지">BlankMacro1</definedName>
    <definedName name="설비" localSheetId="3">BlankMacro1</definedName>
    <definedName name="설비">BlankMacro1</definedName>
    <definedName name="성당중">[0]!성당중</definedName>
    <definedName name="성토3">[0]!성토3</definedName>
    <definedName name="성토도쟈">[0]!성토도쟈</definedName>
    <definedName name="세금">#REF!</definedName>
    <definedName name="소방공량산출서" localSheetId="3">BlankMacro1</definedName>
    <definedName name="소방공량산출서">BlankMacro1</definedName>
    <definedName name="소방내역" localSheetId="3">BlankMacro1</definedName>
    <definedName name="소방내역">BlankMacro1</definedName>
    <definedName name="소방내역서" localSheetId="3">BlankMacro1</definedName>
    <definedName name="소방내역서">BlankMacro1</definedName>
    <definedName name="수량">#REF!</definedName>
    <definedName name="수목보호대">#REF!</definedName>
    <definedName name="수익">#REF!</definedName>
    <definedName name="순공사비">'[7]단가 (2)'!$H$10</definedName>
    <definedName name="순공사원가">'[7]단가 (2)'!$H$10</definedName>
    <definedName name="순성토">[0]!순성토</definedName>
    <definedName name="시멘트운반">[0]!시멘트운반</definedName>
    <definedName name="ㅇㄴ">[1]부하계산서!#REF!</definedName>
    <definedName name="ㅇㄹㅇㄹ">#REF!</definedName>
    <definedName name="ㅇㅇ" localSheetId="3">BlankMacro1</definedName>
    <definedName name="ㅇㅇ">BlankMacro1</definedName>
    <definedName name="아" localSheetId="3">BlankMacro1</definedName>
    <definedName name="아">BlankMacro1</definedName>
    <definedName name="아늘믿" localSheetId="3">BlankMacro1</definedName>
    <definedName name="아늘믿">BlankMacro1</definedName>
    <definedName name="아니" localSheetId="3">BlankMacro1</definedName>
    <definedName name="아니">BlankMacro1</definedName>
    <definedName name="아다" localSheetId="3">BlankMacro1</definedName>
    <definedName name="아다">BlankMacro1</definedName>
    <definedName name="아디" localSheetId="3">BlankMacro1</definedName>
    <definedName name="아디">BlankMacro1</definedName>
    <definedName name="아서" localSheetId="3">BlankMacro1</definedName>
    <definedName name="아서">BlankMacro1</definedName>
    <definedName name="아싸">#REF!</definedName>
    <definedName name="안">#REF!</definedName>
    <definedName name="안전관리비">'[7]단가 (2)'!$H$8</definedName>
    <definedName name="연면적">#REF!</definedName>
    <definedName name="예산비교표">[0]!예산비교표</definedName>
    <definedName name="오호">#REF!</definedName>
    <definedName name="용모니1">#REF!</definedName>
    <definedName name="울진내역" localSheetId="3">BlankMacro1</definedName>
    <definedName name="울진내역">BlankMacro1</definedName>
    <definedName name="원가" hidden="1">[9]날개벽수량표!#REF!</definedName>
    <definedName name="원가2차">[1]부하계산서!#REF!</definedName>
    <definedName name="원가계산">템플리트모듈6</definedName>
    <definedName name="원금">#REF!</definedName>
    <definedName name="이런">#REF!</definedName>
    <definedName name="이윤">'[7]단가 (2)'!$H$12</definedName>
    <definedName name="이자">#REF!</definedName>
    <definedName name="이자율">0.125</definedName>
    <definedName name="이히">#REF!</definedName>
    <definedName name="인공">#REF!</definedName>
    <definedName name="인상익" localSheetId="3">BlankMacro1</definedName>
    <definedName name="인상익">BlankMacro1</definedName>
    <definedName name="일반건설공사_갑">[3]단위수량!#REF!</definedName>
    <definedName name="일반건설공사_을">[3]단위수량!#REF!</definedName>
    <definedName name="일반관리비">'[7]단가 (2)'!$H$11</definedName>
    <definedName name="ㅈㅂㄴㄷ">[1]부하계산서!#REF!</definedName>
    <definedName name="ㅈㅈㅈㅈ">[0]!ㅈㅈㅈㅈ</definedName>
    <definedName name="자" localSheetId="3">BlankMacro1</definedName>
    <definedName name="자">BlankMacro1</definedName>
    <definedName name="자갈운반">[0]!자갈운반</definedName>
    <definedName name="자동제어1차공량산출" localSheetId="3">BlankMacro1</definedName>
    <definedName name="자동제어1차공량산출">BlankMacro1</definedName>
    <definedName name="잔토처리">[0]!잔토처리</definedName>
    <definedName name="재료비">'[7]단가 (2)'!$J$5</definedName>
    <definedName name="전기내역" localSheetId="3">BlankMacro1</definedName>
    <definedName name="전기내역">BlankMacro1</definedName>
    <definedName name="전기내역1" localSheetId="3">BlankMacro1</definedName>
    <definedName name="전기내역1">BlankMacro1</definedName>
    <definedName name="전기재료관">#REF!</definedName>
    <definedName name="절토">[0]!절토</definedName>
    <definedName name="제일안과병원">#REF!</definedName>
    <definedName name="중건설공사">[3]단위수량!#REF!</definedName>
    <definedName name="직접경비">'[7]단가 (2)'!$K$5</definedName>
    <definedName name="직접노무비">'[7]단가 (2)'!$I$5</definedName>
    <definedName name="집">[0]!집</definedName>
    <definedName name="집계서" localSheetId="3">BlankMacro1</definedName>
    <definedName name="집계서">BlankMacro1</definedName>
    <definedName name="집계표2">집</definedName>
    <definedName name="ㅊ1555">#REF!</definedName>
    <definedName name="차" localSheetId="3">BlankMacro1</definedName>
    <definedName name="차">BlankMacro1</definedName>
    <definedName name="창호2">[0]!창호2</definedName>
    <definedName name="창호대가">#N/A</definedName>
    <definedName name="철근운반">[0]!철근운반</definedName>
    <definedName name="철도궤도신설공사">[3]단위수량!#REF!</definedName>
    <definedName name="총괄관급">[0]!총괄관급</definedName>
    <definedName name="총집계" localSheetId="3">BlankMacro1</definedName>
    <definedName name="총집계">BlankMacro1</definedName>
    <definedName name="ㅋㅋ" localSheetId="3">BlankMacro1</definedName>
    <definedName name="ㅋㅋ">BlankMacro1</definedName>
    <definedName name="터파기">[0]!터파기</definedName>
    <definedName name="템플리트모듈1">템플리트모듈6</definedName>
    <definedName name="템플리트모듈2">템플리트모듈6</definedName>
    <definedName name="템플리트모듈3">템플리트모듈6</definedName>
    <definedName name="템플리트모듈4">템플리트모듈6</definedName>
    <definedName name="템플리트모듈5">템플리트모듈6</definedName>
    <definedName name="템플리트모듈6">[0]!템플리트모듈6</definedName>
    <definedName name="토적1">[0]!토적1</definedName>
    <definedName name="토적표" hidden="1">#REF!</definedName>
    <definedName name="통신" localSheetId="3">BlankMacro1</definedName>
    <definedName name="통신">BlankMacro1</definedName>
    <definedName name="통신일위대가" localSheetId="3">BlankMacro1</definedName>
    <definedName name="통신일위대가">BlankMacro1</definedName>
    <definedName name="통신집계" localSheetId="3">BlankMacro1</definedName>
    <definedName name="통신집계">BlankMacro1</definedName>
    <definedName name="특수및기타건설공사">[3]단위수량!#REF!</definedName>
    <definedName name="폐기량산출">[0]!폐기량산출</definedName>
    <definedName name="폐기물내역서">템플리트모듈6</definedName>
    <definedName name="폐기물집계표">집</definedName>
    <definedName name="품위내역서" localSheetId="3">BlankMacro1</definedName>
    <definedName name="품위내역서">BlankMacro1</definedName>
    <definedName name="한전수탁비">'[7]단가 (2)'!$H$17</definedName>
    <definedName name="합계">합계</definedName>
    <definedName name="허ㅗ러" localSheetId="3">BlankMacro1</definedName>
    <definedName name="허ㅗ러">BlankMacro1</definedName>
    <definedName name="화장" localSheetId="3">BlankMacro1</definedName>
    <definedName name="화장">BlankMacro1</definedName>
    <definedName name="횡배수관">[10]DATA!$K$2:$W$10</definedName>
    <definedName name="흄관운반">[0]!흄관운반</definedName>
    <definedName name="ㅔ154">[11]Sheet1!$K$84</definedName>
    <definedName name="ㅜㅜ" localSheetId="3">BlankMacro1</definedName>
    <definedName name="ㅜㅜ">BlankMacro1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25" i="12" l="1"/>
  <c r="T25" i="12" s="1"/>
  <c r="P25" i="12"/>
  <c r="R25" i="12" s="1"/>
  <c r="S25" i="12" s="1"/>
  <c r="Q25" i="12"/>
  <c r="N26" i="12"/>
  <c r="O26" i="12"/>
  <c r="P26" i="12"/>
  <c r="Q26" i="12"/>
  <c r="R26" i="12"/>
  <c r="S26" i="12" s="1"/>
  <c r="O27" i="12"/>
  <c r="N27" i="12" s="1"/>
  <c r="R27" i="12" s="1"/>
  <c r="S27" i="12" s="1"/>
  <c r="P27" i="12"/>
  <c r="Q27" i="12"/>
  <c r="O28" i="12"/>
  <c r="P28" i="12"/>
  <c r="Q28" i="12"/>
  <c r="O29" i="12"/>
  <c r="P29" i="12"/>
  <c r="Q29" i="12" s="1"/>
  <c r="O30" i="12"/>
  <c r="N30" i="12" s="1"/>
  <c r="R30" i="12" s="1"/>
  <c r="S30" i="12" s="1"/>
  <c r="P30" i="12"/>
  <c r="Q30" i="12"/>
  <c r="O31" i="12"/>
  <c r="N31" i="12" s="1"/>
  <c r="R31" i="12" s="1"/>
  <c r="S31" i="12" s="1"/>
  <c r="P31" i="12"/>
  <c r="Q31" i="12"/>
  <c r="O32" i="12"/>
  <c r="P32" i="12"/>
  <c r="Q32" i="12"/>
  <c r="O33" i="12"/>
  <c r="N33" i="12" s="1"/>
  <c r="P33" i="12"/>
  <c r="Q33" i="12" s="1"/>
  <c r="O34" i="12"/>
  <c r="N34" i="12" s="1"/>
  <c r="R34" i="12" s="1"/>
  <c r="S34" i="12" s="1"/>
  <c r="P34" i="12"/>
  <c r="Q34" i="12"/>
  <c r="O35" i="12"/>
  <c r="P35" i="12"/>
  <c r="Q35" i="12"/>
  <c r="O36" i="12"/>
  <c r="P36" i="12"/>
  <c r="Q36" i="12"/>
  <c r="O37" i="12"/>
  <c r="N37" i="12" s="1"/>
  <c r="P37" i="12"/>
  <c r="Q37" i="12" s="1"/>
  <c r="O38" i="12"/>
  <c r="P38" i="12"/>
  <c r="Q38" i="12"/>
  <c r="O39" i="12"/>
  <c r="N39" i="12" s="1"/>
  <c r="R39" i="12" s="1"/>
  <c r="S39" i="12" s="1"/>
  <c r="P39" i="12"/>
  <c r="Q39" i="12"/>
  <c r="O58" i="12"/>
  <c r="U32" i="4"/>
  <c r="U33" i="4"/>
  <c r="U34" i="4"/>
  <c r="U35" i="4"/>
  <c r="U36" i="4"/>
  <c r="U37" i="4"/>
  <c r="U38" i="4"/>
  <c r="U39" i="4"/>
  <c r="U40" i="4"/>
  <c r="U41" i="4"/>
  <c r="U42" i="4"/>
  <c r="U43" i="4"/>
  <c r="U44" i="4"/>
  <c r="U45" i="4"/>
  <c r="U46" i="4"/>
  <c r="U47" i="4"/>
  <c r="U48" i="4"/>
  <c r="U49" i="4"/>
  <c r="U50" i="4"/>
  <c r="U51" i="4"/>
  <c r="U31" i="4"/>
  <c r="G16" i="3"/>
  <c r="H16" i="3"/>
  <c r="F16" i="3"/>
  <c r="G15" i="3"/>
  <c r="I15" i="3"/>
  <c r="K15" i="3"/>
  <c r="G14" i="3"/>
  <c r="I14" i="3"/>
  <c r="K14" i="3"/>
  <c r="G13" i="3"/>
  <c r="I13" i="3"/>
  <c r="K13" i="3"/>
  <c r="G12" i="3"/>
  <c r="I12" i="3"/>
  <c r="K12" i="3"/>
  <c r="A16" i="3"/>
  <c r="A15" i="3"/>
  <c r="A14" i="3"/>
  <c r="A13" i="3"/>
  <c r="A12" i="3"/>
  <c r="A11" i="3"/>
  <c r="M84" i="4"/>
  <c r="R37" i="12" l="1"/>
  <c r="S37" i="12" s="1"/>
  <c r="R33" i="12"/>
  <c r="S33" i="12" s="1"/>
  <c r="N28" i="12"/>
  <c r="R28" i="12" s="1"/>
  <c r="S28" i="12" s="1"/>
  <c r="N32" i="12"/>
  <c r="R32" i="12" s="1"/>
  <c r="S32" i="12" s="1"/>
  <c r="N36" i="12"/>
  <c r="R36" i="12" s="1"/>
  <c r="S36" i="12" s="1"/>
  <c r="N38" i="12"/>
  <c r="R38" i="12" s="1"/>
  <c r="S38" i="12" s="1"/>
  <c r="N35" i="12"/>
  <c r="R35" i="12" s="1"/>
  <c r="S35" i="12" s="1"/>
  <c r="N29" i="12"/>
  <c r="R29" i="12" s="1"/>
  <c r="S29" i="12" s="1"/>
  <c r="D57" i="12"/>
  <c r="D53" i="12"/>
  <c r="D52" i="12"/>
  <c r="D49" i="12"/>
  <c r="D47" i="12"/>
  <c r="D46" i="12"/>
  <c r="D45" i="12"/>
  <c r="D44" i="12"/>
  <c r="A5" i="3"/>
  <c r="L15" i="3"/>
  <c r="J15" i="3"/>
  <c r="H15" i="3"/>
  <c r="F15" i="3"/>
  <c r="D54" i="12" l="1"/>
  <c r="D43" i="12"/>
  <c r="D51" i="12"/>
  <c r="D50" i="12"/>
  <c r="D56" i="12"/>
  <c r="D48" i="12"/>
  <c r="D55" i="12"/>
  <c r="J13" i="3"/>
  <c r="F12" i="3"/>
  <c r="J12" i="3"/>
  <c r="F14" i="3" l="1"/>
  <c r="J14" i="3"/>
  <c r="J16" i="3"/>
  <c r="L16" i="3"/>
  <c r="L14" i="3"/>
  <c r="H14" i="3"/>
  <c r="H13" i="3" l="1"/>
  <c r="F13" i="3"/>
  <c r="L13" i="3" l="1"/>
  <c r="L12" i="3"/>
  <c r="H12" i="3"/>
  <c r="O51" i="4" l="1"/>
  <c r="O50" i="4"/>
  <c r="O49" i="4"/>
  <c r="O48" i="4"/>
  <c r="O47" i="4"/>
  <c r="D71" i="4" s="1"/>
  <c r="O46" i="4"/>
  <c r="D70" i="4" s="1"/>
  <c r="O45" i="4"/>
  <c r="D69" i="4" s="1"/>
  <c r="O44" i="4"/>
  <c r="O43" i="4"/>
  <c r="D67" i="4" s="1"/>
  <c r="O42" i="4"/>
  <c r="D66" i="4" s="1"/>
  <c r="O41" i="4"/>
  <c r="D65" i="4" s="1"/>
  <c r="O40" i="4"/>
  <c r="O39" i="4"/>
  <c r="D63" i="4" s="1"/>
  <c r="O38" i="4"/>
  <c r="D62" i="4" s="1"/>
  <c r="O37" i="4"/>
  <c r="O36" i="4"/>
  <c r="D60" i="4" s="1"/>
  <c r="O35" i="4"/>
  <c r="O34" i="4"/>
  <c r="O33" i="4"/>
  <c r="O32" i="4"/>
  <c r="D56" i="4" s="1"/>
  <c r="O31" i="4"/>
  <c r="O76" i="4"/>
  <c r="P41" i="4"/>
  <c r="G10" i="3"/>
  <c r="H10" i="3"/>
  <c r="F10" i="3"/>
  <c r="A10" i="3"/>
  <c r="G9" i="3"/>
  <c r="I9" i="3"/>
  <c r="K9" i="3"/>
  <c r="A9" i="3"/>
  <c r="G8" i="3"/>
  <c r="I8" i="3"/>
  <c r="K8" i="3"/>
  <c r="A8" i="3"/>
  <c r="G7" i="3"/>
  <c r="I7" i="3"/>
  <c r="K7" i="3"/>
  <c r="A7" i="3"/>
  <c r="G6" i="3"/>
  <c r="I6" i="3"/>
  <c r="K6" i="3"/>
  <c r="A6" i="3"/>
  <c r="A2" i="3"/>
  <c r="A2" i="2" s="1"/>
  <c r="P45" i="4" l="1"/>
  <c r="P36" i="4"/>
  <c r="P40" i="4"/>
  <c r="D64" i="4"/>
  <c r="P33" i="4"/>
  <c r="D57" i="4"/>
  <c r="P50" i="4"/>
  <c r="D74" i="4"/>
  <c r="P35" i="4"/>
  <c r="D59" i="4"/>
  <c r="D75" i="4"/>
  <c r="P51" i="4"/>
  <c r="P42" i="4"/>
  <c r="P44" i="4"/>
  <c r="D68" i="4"/>
  <c r="D55" i="4"/>
  <c r="P31" i="4"/>
  <c r="P48" i="4"/>
  <c r="D72" i="4"/>
  <c r="D73" i="4"/>
  <c r="P49" i="4"/>
  <c r="P34" i="4"/>
  <c r="D58" i="4"/>
  <c r="P43" i="4"/>
  <c r="P37" i="4"/>
  <c r="D61" i="4"/>
  <c r="Q41" i="4"/>
  <c r="R41" i="4" s="1"/>
  <c r="H9" i="3"/>
  <c r="J9" i="3"/>
  <c r="K27" i="3"/>
  <c r="G27" i="3"/>
  <c r="J7" i="3"/>
  <c r="P46" i="4"/>
  <c r="J6" i="3"/>
  <c r="P47" i="4"/>
  <c r="P32" i="4"/>
  <c r="F6" i="3"/>
  <c r="P39" i="4"/>
  <c r="P38" i="4"/>
  <c r="Q45" i="4" l="1"/>
  <c r="R45" i="4" s="1"/>
  <c r="Q42" i="4"/>
  <c r="R42" i="4" s="1"/>
  <c r="S42" i="4" s="1"/>
  <c r="Q44" i="4"/>
  <c r="R44" i="4" s="1"/>
  <c r="S44" i="4" s="1"/>
  <c r="Q31" i="4"/>
  <c r="R31" i="4" s="1"/>
  <c r="Q36" i="4"/>
  <c r="R36" i="4" s="1"/>
  <c r="Q35" i="4"/>
  <c r="R35" i="4" s="1"/>
  <c r="Q37" i="4"/>
  <c r="J10" i="3"/>
  <c r="Q33" i="4"/>
  <c r="R33" i="4" s="1"/>
  <c r="S33" i="4" s="1"/>
  <c r="Q34" i="4"/>
  <c r="R34" i="4" s="1"/>
  <c r="Q32" i="4"/>
  <c r="R32" i="4" s="1"/>
  <c r="Q51" i="4"/>
  <c r="R51" i="4" s="1"/>
  <c r="Q40" i="4"/>
  <c r="R40" i="4" s="1"/>
  <c r="Q43" i="4"/>
  <c r="R43" i="4" s="1"/>
  <c r="Q48" i="4"/>
  <c r="R48" i="4" s="1"/>
  <c r="Q50" i="4"/>
  <c r="R50" i="4" s="1"/>
  <c r="Q47" i="4"/>
  <c r="R47" i="4" s="1"/>
  <c r="S41" i="4"/>
  <c r="Q49" i="4"/>
  <c r="R49" i="4" s="1"/>
  <c r="F9" i="3"/>
  <c r="L9" i="3"/>
  <c r="Q46" i="4"/>
  <c r="R46" i="4" s="1"/>
  <c r="Q39" i="4"/>
  <c r="Q38" i="4"/>
  <c r="R37" i="4"/>
  <c r="S35" i="4" l="1"/>
  <c r="F8" i="3"/>
  <c r="S34" i="4"/>
  <c r="S50" i="4"/>
  <c r="S40" i="4"/>
  <c r="S48" i="4"/>
  <c r="S31" i="4"/>
  <c r="S43" i="4"/>
  <c r="S47" i="4"/>
  <c r="J8" i="3"/>
  <c r="S49" i="4"/>
  <c r="S46" i="4"/>
  <c r="S37" i="4"/>
  <c r="S45" i="4"/>
  <c r="S51" i="4"/>
  <c r="S32" i="4"/>
  <c r="S36" i="4"/>
  <c r="L8" i="3"/>
  <c r="H8" i="3"/>
  <c r="L10" i="3"/>
  <c r="R38" i="4"/>
  <c r="R39" i="4"/>
  <c r="J27" i="3" l="1"/>
  <c r="E10" i="2" s="1"/>
  <c r="S38" i="4"/>
  <c r="S39" i="4"/>
  <c r="F7" i="3"/>
  <c r="F27" i="3" s="1"/>
  <c r="E4" i="2" s="1"/>
  <c r="AE63" i="9"/>
  <c r="V63" i="9"/>
  <c r="U63" i="9"/>
  <c r="AE62" i="9"/>
  <c r="V62" i="9"/>
  <c r="U62" i="9"/>
  <c r="AE61" i="9"/>
  <c r="V61" i="9"/>
  <c r="U61" i="9"/>
  <c r="AE60" i="9"/>
  <c r="V60" i="9"/>
  <c r="U60" i="9"/>
  <c r="AE59" i="9"/>
  <c r="V59" i="9"/>
  <c r="U59" i="9"/>
  <c r="AE58" i="9"/>
  <c r="V58" i="9"/>
  <c r="U58" i="9"/>
  <c r="AE57" i="9"/>
  <c r="V57" i="9"/>
  <c r="U57" i="9"/>
  <c r="AE56" i="9"/>
  <c r="V56" i="9"/>
  <c r="U56" i="9"/>
  <c r="AE55" i="9"/>
  <c r="V55" i="9"/>
  <c r="U55" i="9"/>
  <c r="AE54" i="9"/>
  <c r="V54" i="9"/>
  <c r="U54" i="9"/>
  <c r="AE53" i="9"/>
  <c r="V53" i="9"/>
  <c r="U53" i="9"/>
  <c r="AE52" i="9"/>
  <c r="V52" i="9"/>
  <c r="U52" i="9"/>
  <c r="AE51" i="9"/>
  <c r="V51" i="9"/>
  <c r="U51" i="9"/>
  <c r="AE50" i="9"/>
  <c r="V50" i="9"/>
  <c r="U50" i="9"/>
  <c r="AE49" i="9"/>
  <c r="V49" i="9"/>
  <c r="U49" i="9"/>
  <c r="AE48" i="9"/>
  <c r="V48" i="9"/>
  <c r="U48" i="9"/>
  <c r="AE47" i="9"/>
  <c r="V47" i="9"/>
  <c r="U47" i="9"/>
  <c r="AE46" i="9"/>
  <c r="V46" i="9"/>
  <c r="U46" i="9"/>
  <c r="AE45" i="9"/>
  <c r="V45" i="9"/>
  <c r="U45" i="9"/>
  <c r="AE44" i="9"/>
  <c r="V44" i="9"/>
  <c r="U44" i="9"/>
  <c r="AE43" i="9"/>
  <c r="V43" i="9"/>
  <c r="U43" i="9"/>
  <c r="AE42" i="9"/>
  <c r="V42" i="9"/>
  <c r="U42" i="9"/>
  <c r="AE41" i="9"/>
  <c r="V41" i="9"/>
  <c r="U41" i="9"/>
  <c r="AE40" i="9"/>
  <c r="V40" i="9"/>
  <c r="U40" i="9"/>
  <c r="AE39" i="9"/>
  <c r="V39" i="9"/>
  <c r="U39" i="9"/>
  <c r="AE38" i="9"/>
  <c r="V38" i="9"/>
  <c r="U38" i="9"/>
  <c r="AE37" i="9"/>
  <c r="V37" i="9"/>
  <c r="U37" i="9"/>
  <c r="AE36" i="9"/>
  <c r="V36" i="9"/>
  <c r="U36" i="9"/>
  <c r="AE35" i="9"/>
  <c r="V35" i="9"/>
  <c r="U35" i="9"/>
  <c r="AE34" i="9"/>
  <c r="V34" i="9"/>
  <c r="U34" i="9"/>
  <c r="AE33" i="9"/>
  <c r="V33" i="9"/>
  <c r="U33" i="9"/>
  <c r="AE32" i="9"/>
  <c r="V32" i="9"/>
  <c r="U32" i="9"/>
  <c r="AE31" i="9"/>
  <c r="V31" i="9"/>
  <c r="U31" i="9"/>
  <c r="AE30" i="9"/>
  <c r="V30" i="9"/>
  <c r="U30" i="9"/>
  <c r="AE29" i="9"/>
  <c r="V29" i="9"/>
  <c r="U29" i="9"/>
  <c r="AE28" i="9"/>
  <c r="V28" i="9"/>
  <c r="U28" i="9"/>
  <c r="AE27" i="9"/>
  <c r="V27" i="9"/>
  <c r="U27" i="9"/>
  <c r="AE26" i="9"/>
  <c r="V26" i="9"/>
  <c r="U26" i="9"/>
  <c r="AE25" i="9"/>
  <c r="V25" i="9"/>
  <c r="U25" i="9"/>
  <c r="AE24" i="9"/>
  <c r="V24" i="9"/>
  <c r="U24" i="9"/>
  <c r="AE23" i="9"/>
  <c r="V23" i="9"/>
  <c r="U23" i="9"/>
  <c r="AE22" i="9"/>
  <c r="V22" i="9"/>
  <c r="U22" i="9"/>
  <c r="AE21" i="9"/>
  <c r="V21" i="9"/>
  <c r="U21" i="9"/>
  <c r="AE20" i="9"/>
  <c r="V20" i="9"/>
  <c r="U20" i="9"/>
  <c r="AE19" i="9"/>
  <c r="V19" i="9"/>
  <c r="U19" i="9"/>
  <c r="AE18" i="9"/>
  <c r="V18" i="9"/>
  <c r="U18" i="9"/>
  <c r="AE17" i="9"/>
  <c r="V17" i="9"/>
  <c r="U17" i="9"/>
  <c r="AE16" i="9"/>
  <c r="V16" i="9"/>
  <c r="U16" i="9"/>
  <c r="AE15" i="9"/>
  <c r="V15" i="9"/>
  <c r="U15" i="9"/>
  <c r="AE14" i="9"/>
  <c r="V14" i="9"/>
  <c r="U14" i="9"/>
  <c r="AE13" i="9"/>
  <c r="V13" i="9"/>
  <c r="U13" i="9"/>
  <c r="AE12" i="9"/>
  <c r="V12" i="9"/>
  <c r="U12" i="9"/>
  <c r="AE11" i="9"/>
  <c r="V11" i="9"/>
  <c r="U11" i="9"/>
  <c r="AE10" i="9"/>
  <c r="V10" i="9"/>
  <c r="U10" i="9"/>
  <c r="AE9" i="9"/>
  <c r="V9" i="9"/>
  <c r="U9" i="9"/>
  <c r="AE8" i="9"/>
  <c r="V8" i="9"/>
  <c r="U8" i="9"/>
  <c r="AE7" i="9"/>
  <c r="V7" i="9"/>
  <c r="U7" i="9"/>
  <c r="AE6" i="9"/>
  <c r="V6" i="9"/>
  <c r="U6" i="9"/>
  <c r="AE5" i="9"/>
  <c r="V5" i="9"/>
  <c r="U5" i="9"/>
  <c r="E6" i="2" l="1"/>
  <c r="L6" i="3" l="1"/>
  <c r="H6" i="3"/>
  <c r="H7" i="3"/>
  <c r="L7" i="3"/>
  <c r="L27" i="3" l="1"/>
  <c r="H27" i="3"/>
  <c r="E7" i="2" s="1"/>
  <c r="E9" i="2" l="1"/>
  <c r="E20" i="2" l="1"/>
  <c r="E21" i="2"/>
  <c r="E12" i="2"/>
  <c r="E11" i="2"/>
  <c r="F2" i="2" l="1"/>
</calcChain>
</file>

<file path=xl/sharedStrings.xml><?xml version="1.0" encoding="utf-8"?>
<sst xmlns="http://schemas.openxmlformats.org/spreadsheetml/2006/main" count="1497" uniqueCount="558">
  <si>
    <t>중밀도섬유판, 15*1220*2440mm</t>
  </si>
  <si>
    <t>스틸,전도성타일마감</t>
  </si>
  <si>
    <t>금  액</t>
  </si>
  <si>
    <t>물가자료</t>
  </si>
  <si>
    <t>B20</t>
  </si>
  <si>
    <t>C90</t>
  </si>
  <si>
    <t>ZA00000000000006</t>
  </si>
  <si>
    <t>2T × 1,000 × 1,000, (주상복합, 아파트, 오피스텔, 공장, 산업단지, 각종기기 소음 차단효과)</t>
  </si>
  <si>
    <t>319퍼티, 백색</t>
  </si>
  <si>
    <t>3121180321870998</t>
  </si>
  <si>
    <t>3016160420162664</t>
  </si>
  <si>
    <t>재료비 단가 적용률</t>
  </si>
  <si>
    <t>비 고</t>
  </si>
  <si>
    <t>ZA00000000000007</t>
  </si>
  <si>
    <t>67×40, 0.8T</t>
  </si>
  <si>
    <t>A20</t>
  </si>
  <si>
    <t>675</t>
  </si>
  <si>
    <t>산 출 내 역</t>
  </si>
  <si>
    <t>단 가 대 비 표</t>
  </si>
  <si>
    <t>0101</t>
  </si>
  <si>
    <t>1480*2900*500*5SET, ㄱ앵글/분체도장+THK12 내수합판선반</t>
  </si>
  <si>
    <t>3014150810028412</t>
  </si>
  <si>
    <t>단위</t>
  </si>
  <si>
    <t>3016160420162661</t>
  </si>
  <si>
    <t>조사가격1</t>
  </si>
  <si>
    <t>m2</t>
  </si>
  <si>
    <t>경량철골천장틀, 달대볼트, 상6×1000mm</t>
  </si>
  <si>
    <t>CB0</t>
  </si>
  <si>
    <t>시너</t>
  </si>
  <si>
    <t>A</t>
  </si>
  <si>
    <t>재  료  비</t>
  </si>
  <si>
    <t>METAL C-RUNNER</t>
  </si>
  <si>
    <t>579</t>
  </si>
  <si>
    <t>24톤 암롤트럭, 30km</t>
  </si>
  <si>
    <t>자재단가적용</t>
  </si>
  <si>
    <t>구        성        비</t>
  </si>
  <si>
    <t>CQ0</t>
  </si>
  <si>
    <t>특별인부</t>
  </si>
  <si>
    <t>공   급    가   액</t>
  </si>
  <si>
    <t>노   무   비</t>
  </si>
  <si>
    <t>3016160420162701</t>
  </si>
  <si>
    <t>600</t>
  </si>
  <si>
    <t>공 사 원 가 계 산 서</t>
  </si>
  <si>
    <t>코  드</t>
  </si>
  <si>
    <t>kg</t>
  </si>
  <si>
    <t>L001010101000030</t>
  </si>
  <si>
    <t>C30</t>
  </si>
  <si>
    <t>SP-65,75</t>
  </si>
  <si>
    <t>혼합건설폐기물 상차비 및 운반비</t>
  </si>
  <si>
    <t>NK-27</t>
  </si>
  <si>
    <t>품      명</t>
  </si>
  <si>
    <t>M2</t>
  </si>
  <si>
    <t>0109</t>
  </si>
  <si>
    <t>P.E, 50T, PVC몰딩포함</t>
  </si>
  <si>
    <t>노임구분</t>
  </si>
  <si>
    <t>3016150920696281</t>
  </si>
  <si>
    <t>DZZ</t>
  </si>
  <si>
    <t>PAGE</t>
  </si>
  <si>
    <t>경량철골천장틀, 행가및핀, 110×23×18×2.3mm</t>
  </si>
  <si>
    <t>연강용피복아크용접봉, CR-13, Φ3.2mm</t>
  </si>
  <si>
    <t>노무비 조정률</t>
  </si>
  <si>
    <t>m</t>
  </si>
  <si>
    <t>632</t>
  </si>
  <si>
    <t>확정내역</t>
  </si>
  <si>
    <t>경량철골천장틀, 찬넬크립, 34×34×1.2mm</t>
  </si>
  <si>
    <t>스텐, 4370*740</t>
  </si>
  <si>
    <t>직  접  재  료  비</t>
  </si>
  <si>
    <t>BZZ</t>
  </si>
  <si>
    <t>3016160222517492</t>
  </si>
  <si>
    <t>624</t>
  </si>
  <si>
    <t>퍼티, 회색</t>
  </si>
  <si>
    <t>재</t>
  </si>
  <si>
    <t>1337</t>
  </si>
  <si>
    <t>인테리어필름</t>
  </si>
  <si>
    <t>149</t>
  </si>
  <si>
    <t>부  가  가  치  세</t>
  </si>
  <si>
    <t>3016160420162662</t>
  </si>
  <si>
    <t>노 무 비</t>
  </si>
  <si>
    <t>재   료   비</t>
  </si>
  <si>
    <t>공급가액 * 10%</t>
  </si>
  <si>
    <t>TTTTTTTT</t>
  </si>
  <si>
    <t>3016160420162665</t>
  </si>
  <si>
    <t>3016160420162803</t>
  </si>
  <si>
    <t>할석공</t>
  </si>
  <si>
    <t>노무비*3.56%</t>
  </si>
  <si>
    <t>품목코드형식</t>
  </si>
  <si>
    <t>폐합성수지</t>
  </si>
  <si>
    <t>환경보전비</t>
  </si>
  <si>
    <t>넝마</t>
  </si>
  <si>
    <t>ZA00000000000011</t>
  </si>
  <si>
    <t>단가명</t>
  </si>
  <si>
    <t>폴리에스터충진재</t>
  </si>
  <si>
    <t>연강용피복아크용접봉</t>
  </si>
  <si>
    <t>0107</t>
  </si>
  <si>
    <t>중 기 단 가 목 록</t>
  </si>
  <si>
    <t>공종구분명</t>
  </si>
  <si>
    <t>비        목</t>
  </si>
  <si>
    <t>AAD150105200</t>
  </si>
  <si>
    <t>ZA00000000000010</t>
  </si>
  <si>
    <t>아크릴수지페인트, KSM6020-2종1급, 흑색</t>
  </si>
  <si>
    <t>경      비</t>
  </si>
  <si>
    <t>각재, 미송</t>
  </si>
  <si>
    <t>3016160420162657</t>
  </si>
  <si>
    <t>CD0</t>
  </si>
  <si>
    <t>813K010201000190</t>
  </si>
  <si>
    <t>물가정보</t>
  </si>
  <si>
    <t>화이바메트설치</t>
  </si>
  <si>
    <t>METAL C-STUD</t>
  </si>
  <si>
    <t>2327181220080561</t>
  </si>
  <si>
    <t>혼합건설폐기물</t>
  </si>
  <si>
    <t>부가세,조달수수료포함</t>
  </si>
  <si>
    <t>하도급지급보증수수료</t>
  </si>
  <si>
    <t>조사가격2</t>
  </si>
  <si>
    <t>672</t>
  </si>
  <si>
    <t>아크릴수지페인트</t>
  </si>
  <si>
    <t>건축목공</t>
  </si>
  <si>
    <t>AAD151107120</t>
  </si>
  <si>
    <t>3120160120277510</t>
  </si>
  <si>
    <t>노무비 할증 계수</t>
  </si>
  <si>
    <t>퍼티</t>
  </si>
  <si>
    <t>경    비</t>
  </si>
  <si>
    <t>CW0</t>
  </si>
  <si>
    <t>B10</t>
  </si>
  <si>
    <t>재료비 조정률</t>
  </si>
  <si>
    <t>차음시트(댐핑시트)</t>
  </si>
  <si>
    <t>813A0B0000000391</t>
  </si>
  <si>
    <t>폐기물처리비</t>
  </si>
  <si>
    <t>경량철골천장틀, 캐링찬넬, 38×12×1.2mm</t>
  </si>
  <si>
    <t>이              윤</t>
  </si>
  <si>
    <t>공 종 별 집 계 표</t>
  </si>
  <si>
    <t>기   타    경   비</t>
  </si>
  <si>
    <t>경 비</t>
  </si>
  <si>
    <t>규격</t>
  </si>
  <si>
    <t>미확인 데이터</t>
  </si>
  <si>
    <t>C</t>
  </si>
  <si>
    <t>319퍼티, 회색</t>
  </si>
  <si>
    <t>일  반  관  리  비</t>
  </si>
  <si>
    <t>일위대가내역소수점처리</t>
  </si>
  <si>
    <t>813K010202000200</t>
  </si>
  <si>
    <t>시간당 작업사이클</t>
  </si>
  <si>
    <t>메탈스크류</t>
  </si>
  <si>
    <t>(주)LX하우시스</t>
  </si>
  <si>
    <t>630</t>
  </si>
  <si>
    <t>그 밖의 건설폐기물에 가연성 5% 이하 혼합</t>
  </si>
  <si>
    <t>연마지</t>
  </si>
  <si>
    <t>01</t>
  </si>
  <si>
    <t>원가비목코드</t>
  </si>
  <si>
    <t>1/8*16/12*25/20</t>
  </si>
  <si>
    <t>1L=1.55kg</t>
  </si>
  <si>
    <t>0102</t>
  </si>
  <si>
    <t>692</t>
  </si>
  <si>
    <t>615</t>
  </si>
  <si>
    <t>3016160420162700</t>
  </si>
  <si>
    <t>CE0</t>
  </si>
  <si>
    <t>3010369820141039</t>
  </si>
  <si>
    <t>40</t>
  </si>
  <si>
    <t>ton</t>
  </si>
  <si>
    <t>합 계</t>
  </si>
  <si>
    <t>CH2</t>
  </si>
  <si>
    <t>자재구분</t>
  </si>
  <si>
    <t>138</t>
  </si>
  <si>
    <t>1/8*16/12*25/20*24/15</t>
  </si>
  <si>
    <t>적용단가</t>
  </si>
  <si>
    <t>소나무계열 2955*2040</t>
  </si>
  <si>
    <t>E20</t>
  </si>
  <si>
    <t>이 Sheet는 수정하지 마십시요</t>
  </si>
  <si>
    <t>3119150120139357</t>
  </si>
  <si>
    <t>P30</t>
  </si>
  <si>
    <t>재료비 할증 계수</t>
  </si>
  <si>
    <t>경량철골천장틀, BAR조인트, 더블</t>
  </si>
  <si>
    <t>노  무  비</t>
  </si>
  <si>
    <t>AZZ</t>
  </si>
  <si>
    <t>건설폐재류 상차비 및 운반비</t>
  </si>
  <si>
    <t>ZA00000000000004</t>
  </si>
  <si>
    <t>경량철골천장틀, BAR크립, 더블</t>
  </si>
  <si>
    <t>1326</t>
  </si>
  <si>
    <t>조사가격3</t>
  </si>
  <si>
    <t>L001010101000029</t>
  </si>
  <si>
    <t>규      격</t>
  </si>
  <si>
    <t>102×40, 0.8T</t>
  </si>
  <si>
    <t>[ 합           계 ]</t>
  </si>
  <si>
    <t>503</t>
  </si>
  <si>
    <t>방음문 신설</t>
  </si>
  <si>
    <t>경비단가적용</t>
  </si>
  <si>
    <t>공사구분</t>
  </si>
  <si>
    <t>중밀도섬유판</t>
  </si>
  <si>
    <t>재 료 비</t>
  </si>
  <si>
    <t>소수점처리</t>
  </si>
  <si>
    <t>시너, KSM6060, 1종</t>
  </si>
  <si>
    <t>496</t>
  </si>
  <si>
    <t>L001010101000023</t>
  </si>
  <si>
    <t>섬유단열재, 유리솜, 밀도24kg/㎥, 50mm, 유리면매트</t>
  </si>
  <si>
    <t>813J050000000021</t>
  </si>
  <si>
    <t>3121180321870999</t>
  </si>
  <si>
    <t>65×45×0.8T</t>
  </si>
  <si>
    <t>650</t>
  </si>
  <si>
    <t>1회 사이클시간</t>
  </si>
  <si>
    <t>3120160520277601</t>
  </si>
  <si>
    <t>Q20</t>
  </si>
  <si>
    <t>3121150822073046</t>
  </si>
  <si>
    <t>STUD-SPACER</t>
  </si>
  <si>
    <t>내역금액소수점처리</t>
  </si>
  <si>
    <t>696</t>
  </si>
  <si>
    <t>후레임덧 씌우기+도어+분체도장+철물포함</t>
  </si>
  <si>
    <t>667</t>
  </si>
  <si>
    <t>0106</t>
  </si>
  <si>
    <t>관급자설치 관급자재</t>
  </si>
  <si>
    <t>크라프트판지</t>
  </si>
  <si>
    <t>건설기계대여금지급보증서발급수수료</t>
  </si>
  <si>
    <t>3116201320135000</t>
  </si>
  <si>
    <t>총   공   사    비</t>
  </si>
  <si>
    <t>R</t>
  </si>
  <si>
    <t>1412150420938865</t>
  </si>
  <si>
    <t>Metal Screw #8, Φ4.2 13mm</t>
  </si>
  <si>
    <t>CC0</t>
  </si>
  <si>
    <t>도      급      액</t>
  </si>
  <si>
    <t>금      액</t>
  </si>
  <si>
    <t>3016170120155538</t>
  </si>
  <si>
    <t>712</t>
  </si>
  <si>
    <t>일반공사 직종</t>
  </si>
  <si>
    <t>합      계</t>
  </si>
  <si>
    <t>국민  연금  보험료</t>
  </si>
  <si>
    <t>앵글+합판선반 장설치</t>
  </si>
  <si>
    <t>1</t>
  </si>
  <si>
    <t>AAD151107410</t>
  </si>
  <si>
    <t>L001010101000003</t>
  </si>
  <si>
    <t>ZA00000000000005</t>
  </si>
  <si>
    <t>루버셔터설치</t>
  </si>
  <si>
    <t>ZA00000000000012</t>
  </si>
  <si>
    <t>경비 단가 적용률</t>
  </si>
  <si>
    <t>CZZ</t>
  </si>
  <si>
    <t>3016160420162624</t>
  </si>
  <si>
    <t>B</t>
  </si>
  <si>
    <t>Q10</t>
  </si>
  <si>
    <t>품      목</t>
  </si>
  <si>
    <t>거래가격</t>
  </si>
  <si>
    <t>국민  건강  보험료</t>
  </si>
  <si>
    <t>3121150220276510</t>
  </si>
  <si>
    <t>노무비 단가 적용률</t>
  </si>
  <si>
    <t>기존 방음문 및 방음시창 이전설치</t>
  </si>
  <si>
    <t>순   공   사   원   가</t>
  </si>
  <si>
    <t>경량철골천장틀, 캐링조인트, 90×40×13×0.5mm</t>
  </si>
  <si>
    <t>연마지, #120~180, 230*280mm</t>
  </si>
  <si>
    <t>악세스플로어설치</t>
  </si>
  <si>
    <t>L</t>
  </si>
  <si>
    <t>0</t>
  </si>
  <si>
    <t>각재</t>
  </si>
  <si>
    <t>3016160420162725</t>
  </si>
  <si>
    <t>24K50T</t>
  </si>
  <si>
    <t>1/8*16/12*25/20*12/10</t>
  </si>
  <si>
    <t>CT0</t>
  </si>
  <si>
    <t>P20</t>
  </si>
  <si>
    <t>XXXXXXXXXXXXXXXXX</t>
  </si>
  <si>
    <t>내역단가 소수점처리</t>
  </si>
  <si>
    <t>0104</t>
  </si>
  <si>
    <t>589</t>
  </si>
  <si>
    <t>L001010101000017</t>
  </si>
  <si>
    <t>비      고</t>
  </si>
  <si>
    <t>간  접  노  무  비</t>
  </si>
  <si>
    <t>합    계</t>
  </si>
  <si>
    <t>(A)</t>
  </si>
  <si>
    <t>보통인부</t>
  </si>
  <si>
    <t>AAD150106300</t>
  </si>
  <si>
    <t>초산비닐계접착제</t>
  </si>
  <si>
    <t>방화문설치</t>
  </si>
  <si>
    <t>석고보드</t>
  </si>
  <si>
    <t>산업안전보건관리비</t>
  </si>
  <si>
    <t>시너, KSM6060, 2종</t>
  </si>
  <si>
    <t>3016150910027951</t>
  </si>
  <si>
    <t>SP-90,125</t>
  </si>
  <si>
    <t>경비 조정률</t>
  </si>
  <si>
    <t>100×45×0.8T</t>
  </si>
  <si>
    <t>기   계    경   비</t>
  </si>
  <si>
    <t>L001010101000002</t>
  </si>
  <si>
    <t>677</t>
  </si>
  <si>
    <t>유통물가</t>
  </si>
  <si>
    <t>543</t>
  </si>
  <si>
    <t>경량철골천장틀, 마이너찬넬, 19×10×1.2mm</t>
  </si>
  <si>
    <t>CV0</t>
  </si>
  <si>
    <t>직  접  노  무  비</t>
  </si>
  <si>
    <t>경        비</t>
  </si>
  <si>
    <t>노인장기요양보험료</t>
  </si>
  <si>
    <t>비  고</t>
  </si>
  <si>
    <t>시간당 노임산출 계수</t>
  </si>
  <si>
    <t>도장공</t>
  </si>
  <si>
    <t>일반변수</t>
  </si>
  <si>
    <t>TON</t>
  </si>
  <si>
    <t>CA0</t>
  </si>
  <si>
    <t>1112200320154876</t>
  </si>
  <si>
    <t>340</t>
  </si>
  <si>
    <t>힐티앙카</t>
  </si>
  <si>
    <t>3121159722073048</t>
  </si>
  <si>
    <t>3120160520277611</t>
  </si>
  <si>
    <t>코드</t>
  </si>
  <si>
    <t>3016160420162702</t>
  </si>
  <si>
    <t>고  용  보  험  료</t>
  </si>
  <si>
    <t>4712181020938865</t>
  </si>
  <si>
    <t>수량</t>
  </si>
  <si>
    <t>3016160420162667</t>
  </si>
  <si>
    <t>ZA00000000000003</t>
  </si>
  <si>
    <t/>
  </si>
  <si>
    <t>타일카펫</t>
  </si>
  <si>
    <t>3016160420162660</t>
  </si>
  <si>
    <t>불연천장재, 알루미늄천장재, 루버천장재, 50*50*50, 0.8T</t>
  </si>
  <si>
    <t>조합페인트</t>
  </si>
  <si>
    <t>비    고</t>
  </si>
  <si>
    <t>24톤 덤프트럭, 35km</t>
  </si>
  <si>
    <t>불연천장재</t>
  </si>
  <si>
    <t>3120160520277439</t>
  </si>
  <si>
    <t>F70</t>
  </si>
  <si>
    <t>아크로글로시(내부), 낙서방지</t>
  </si>
  <si>
    <t>석고보드, 평보드, 9.5*900*2400mm(㎡)</t>
  </si>
  <si>
    <t>공통자재</t>
  </si>
  <si>
    <t>노무비단가적용</t>
  </si>
  <si>
    <t>간  접  재  료  비</t>
  </si>
  <si>
    <t>방범창설치</t>
  </si>
  <si>
    <t>P10</t>
  </si>
  <si>
    <t>개</t>
  </si>
  <si>
    <t>CH1</t>
  </si>
  <si>
    <t>0105</t>
  </si>
  <si>
    <t>조</t>
  </si>
  <si>
    <t>1400*2900*500*5SET, ㄱ앵글/분체도장+THK12 내수합판선반</t>
  </si>
  <si>
    <t>공 종 별 내 역 서</t>
  </si>
  <si>
    <t>산  재  보  험  료</t>
  </si>
  <si>
    <t>622</t>
  </si>
  <si>
    <t>개소</t>
  </si>
  <si>
    <t>초산비닐계접착제, 비닐타일용</t>
  </si>
  <si>
    <t>ZA00000000000008</t>
  </si>
  <si>
    <t>내장공</t>
  </si>
  <si>
    <t>0103</t>
  </si>
  <si>
    <t>경량철골천장틀, M-BAR더블, 50×19×0.5mm</t>
  </si>
  <si>
    <t>조합페인트, KSM6020-1종1급, 백색</t>
  </si>
  <si>
    <t>ZA00000000000009</t>
  </si>
  <si>
    <t>인</t>
  </si>
  <si>
    <t>경량철골천장틀</t>
  </si>
  <si>
    <t>[ 소          계 ]</t>
  </si>
  <si>
    <t>중 기 단 가 산 출 서</t>
  </si>
  <si>
    <t>5.7~8.6kg/m2</t>
  </si>
  <si>
    <t>수성페인트</t>
  </si>
  <si>
    <t>E10</t>
  </si>
  <si>
    <t>경비 할증 계수</t>
  </si>
  <si>
    <t>A10</t>
  </si>
  <si>
    <t>5</t>
  </si>
  <si>
    <t>식</t>
  </si>
  <si>
    <t>장</t>
  </si>
  <si>
    <t>0108</t>
  </si>
  <si>
    <t>684</t>
  </si>
  <si>
    <t>(B)</t>
  </si>
  <si>
    <t>크라프트판지, 하드롱지</t>
  </si>
  <si>
    <t>퇴직  공제  부금비</t>
  </si>
  <si>
    <t>시간당작업량</t>
  </si>
  <si>
    <t>환율</t>
  </si>
  <si>
    <t>타일카펫, LOOP, 500×500×7.0mm</t>
  </si>
  <si>
    <t>단  가</t>
  </si>
  <si>
    <t>원내역</t>
  </si>
  <si>
    <t>조달청가격</t>
  </si>
  <si>
    <t>CH0</t>
  </si>
  <si>
    <t>내역,일위대가 품명,규격,단위 따로적용</t>
  </si>
  <si>
    <t>품목구분</t>
  </si>
  <si>
    <t>계</t>
  </si>
  <si>
    <t>'20년 교육청</t>
  </si>
  <si>
    <t>3016160420162663</t>
  </si>
  <si>
    <t>SET</t>
  </si>
  <si>
    <t>그라스울</t>
  </si>
  <si>
    <t>평보드, 차음, 12.5×900×1800mm(㎡)</t>
  </si>
  <si>
    <t>Z:in , 0.42 x 1220mm CW (방염 마이우드)</t>
  </si>
  <si>
    <t>도급자설치 관급자재</t>
  </si>
  <si>
    <t>W10</t>
  </si>
  <si>
    <t>900*2100, 하부 싯기매입설치</t>
  </si>
  <si>
    <t>공사명: 봉경관 240호, 259-1호 공간조정 및 환경개선 공사</t>
    <phoneticPr fontId="6" type="noConversion"/>
  </si>
  <si>
    <t>30일 이상 적용</t>
    <phoneticPr fontId="6" type="noConversion"/>
  </si>
  <si>
    <t>민간공사 50억이상 적용</t>
    <phoneticPr fontId="6" type="noConversion"/>
  </si>
  <si>
    <t>공사기간 30일 이상 적용</t>
    <phoneticPr fontId="6" type="noConversion"/>
  </si>
  <si>
    <t>(재+노+기계경비)x0.5%</t>
    <phoneticPr fontId="6" type="noConversion"/>
  </si>
  <si>
    <t>소계</t>
    <phoneticPr fontId="6" type="noConversion"/>
  </si>
  <si>
    <t>개소</t>
    <phoneticPr fontId="6" type="noConversion"/>
  </si>
  <si>
    <t>장비대</t>
    <phoneticPr fontId="6" type="noConversion"/>
  </si>
  <si>
    <t>대</t>
    <phoneticPr fontId="6" type="noConversion"/>
  </si>
  <si>
    <t>5TON</t>
    <phoneticPr fontId="6" type="noConversion"/>
  </si>
  <si>
    <t>24mm복층유리(5LE+14AR+5CL)</t>
    <phoneticPr fontId="6" type="noConversion"/>
  </si>
  <si>
    <t>㎡</t>
    <phoneticPr fontId="6" type="noConversion"/>
  </si>
  <si>
    <t>재료비</t>
    <phoneticPr fontId="6" type="noConversion"/>
  </si>
  <si>
    <t>유리</t>
    <phoneticPr fontId="6" type="noConversion"/>
  </si>
  <si>
    <t>노무비</t>
    <phoneticPr fontId="6" type="noConversion"/>
  </si>
  <si>
    <t>철거/설치비</t>
    <phoneticPr fontId="6" type="noConversion"/>
  </si>
  <si>
    <t>ton</t>
    <phoneticPr fontId="6" type="noConversion"/>
  </si>
  <si>
    <t>노무비*1.01%</t>
    <phoneticPr fontId="6" type="noConversion"/>
  </si>
  <si>
    <t>직노*4.5%</t>
    <phoneticPr fontId="6" type="noConversion"/>
  </si>
  <si>
    <t>직노*3.545%</t>
    <phoneticPr fontId="6" type="noConversion"/>
  </si>
  <si>
    <t>건강보험료*12.95%</t>
    <phoneticPr fontId="6" type="noConversion"/>
  </si>
  <si>
    <t>(재+노)*5.2%</t>
    <phoneticPr fontId="6" type="noConversion"/>
  </si>
  <si>
    <t>식</t>
    <phoneticPr fontId="6" type="noConversion"/>
  </si>
  <si>
    <t>썬스크린1%</t>
    <phoneticPr fontId="6" type="noConversion"/>
  </si>
  <si>
    <t>3/CAW</t>
  </si>
  <si>
    <t>공사명: [대학혁신지원사업]백은관, 취업지원센터 단열창호 교체공사</t>
    <phoneticPr fontId="6" type="noConversion"/>
  </si>
  <si>
    <t>기존창호철거 1/SW</t>
    <phoneticPr fontId="6" type="noConversion"/>
  </si>
  <si>
    <t>6550*900</t>
    <phoneticPr fontId="6" type="noConversion"/>
  </si>
  <si>
    <t>기존창호철거 2/SW</t>
    <phoneticPr fontId="6" type="noConversion"/>
  </si>
  <si>
    <t>기존창호철거 3/SW</t>
  </si>
  <si>
    <t>기존창호철거 5/SW</t>
  </si>
  <si>
    <t>기존창호철거 6/SW</t>
  </si>
  <si>
    <t>기존창호철거 7/SW</t>
  </si>
  <si>
    <t>기존창호철거 8/SW</t>
  </si>
  <si>
    <t>6125*900</t>
    <phoneticPr fontId="6" type="noConversion"/>
  </si>
  <si>
    <t>6100*900</t>
    <phoneticPr fontId="6" type="noConversion"/>
  </si>
  <si>
    <t>3125*900</t>
    <phoneticPr fontId="6" type="noConversion"/>
  </si>
  <si>
    <t>4950*900</t>
    <phoneticPr fontId="6" type="noConversion"/>
  </si>
  <si>
    <t>4800*900</t>
    <phoneticPr fontId="6" type="noConversion"/>
  </si>
  <si>
    <t>4600*900</t>
    <phoneticPr fontId="6" type="noConversion"/>
  </si>
  <si>
    <t>1200*900</t>
    <phoneticPr fontId="6" type="noConversion"/>
  </si>
  <si>
    <t>2700*1800</t>
    <phoneticPr fontId="6" type="noConversion"/>
  </si>
  <si>
    <t>기존창호철거 3/HW</t>
    <phoneticPr fontId="6" type="noConversion"/>
  </si>
  <si>
    <t>기존창호철거 4/HW</t>
  </si>
  <si>
    <t>기존창호철거 5/HW</t>
  </si>
  <si>
    <t>기존창호철거 6/HW</t>
  </si>
  <si>
    <t>기존창호철거 7/HW</t>
    <phoneticPr fontId="6" type="noConversion"/>
  </si>
  <si>
    <t>기존창호철거 8/HW</t>
    <phoneticPr fontId="6" type="noConversion"/>
  </si>
  <si>
    <t>기존창호철거 9/HW</t>
    <phoneticPr fontId="6" type="noConversion"/>
  </si>
  <si>
    <t>기존창호철거 10/HW</t>
    <phoneticPr fontId="6" type="noConversion"/>
  </si>
  <si>
    <t>기존창호철거 13/HW</t>
    <phoneticPr fontId="6" type="noConversion"/>
  </si>
  <si>
    <t>1650*2100</t>
    <phoneticPr fontId="6" type="noConversion"/>
  </si>
  <si>
    <t>기존창호철거 11/HW</t>
  </si>
  <si>
    <t>1900*1200</t>
    <phoneticPr fontId="6" type="noConversion"/>
  </si>
  <si>
    <t>900*1800</t>
    <phoneticPr fontId="6" type="noConversion"/>
  </si>
  <si>
    <t>1200*1800</t>
    <phoneticPr fontId="6" type="noConversion"/>
  </si>
  <si>
    <t>2450*1800</t>
    <phoneticPr fontId="6" type="noConversion"/>
  </si>
  <si>
    <t>900*1500</t>
    <phoneticPr fontId="6" type="noConversion"/>
  </si>
  <si>
    <t>1200*2100</t>
    <phoneticPr fontId="6" type="noConversion"/>
  </si>
  <si>
    <t>900*2100</t>
    <phoneticPr fontId="6" type="noConversion"/>
  </si>
  <si>
    <t>기존창호철거 14/HW</t>
  </si>
  <si>
    <t>1000*1800</t>
    <phoneticPr fontId="6" type="noConversion"/>
  </si>
  <si>
    <t>기존창호철거 15/HW</t>
  </si>
  <si>
    <t>1000*1200</t>
    <phoneticPr fontId="6" type="noConversion"/>
  </si>
  <si>
    <t>1800*1200</t>
    <phoneticPr fontId="6" type="noConversion"/>
  </si>
  <si>
    <t>1. 백은관 창호교체</t>
    <phoneticPr fontId="6" type="noConversion"/>
  </si>
  <si>
    <t>가. 철거공사</t>
    <phoneticPr fontId="6" type="noConversion"/>
  </si>
  <si>
    <t>기존창호철거 16/HW</t>
    <phoneticPr fontId="6" type="noConversion"/>
  </si>
  <si>
    <t>창호신설 1/SW</t>
    <phoneticPr fontId="6" type="noConversion"/>
  </si>
  <si>
    <t>창호신설 2/SW</t>
    <phoneticPr fontId="6" type="noConversion"/>
  </si>
  <si>
    <t>창호신설 3/SW</t>
    <phoneticPr fontId="6" type="noConversion"/>
  </si>
  <si>
    <t>창호신설 4/SW</t>
    <phoneticPr fontId="6" type="noConversion"/>
  </si>
  <si>
    <t>창호신설 5/SW</t>
    <phoneticPr fontId="6" type="noConversion"/>
  </si>
  <si>
    <t>창호신설 6/SW</t>
    <phoneticPr fontId="6" type="noConversion"/>
  </si>
  <si>
    <t>창호신설 7/SW</t>
    <phoneticPr fontId="6" type="noConversion"/>
  </si>
  <si>
    <t>창호신설 8/SW</t>
    <phoneticPr fontId="6" type="noConversion"/>
  </si>
  <si>
    <t>창호신설 3/HW</t>
    <phoneticPr fontId="6" type="noConversion"/>
  </si>
  <si>
    <t>창호신설 4/HW</t>
    <phoneticPr fontId="6" type="noConversion"/>
  </si>
  <si>
    <t>창호신설 5/HW</t>
    <phoneticPr fontId="6" type="noConversion"/>
  </si>
  <si>
    <t>창호신설 6/HW</t>
    <phoneticPr fontId="6" type="noConversion"/>
  </si>
  <si>
    <t>창호신설 7/HW</t>
    <phoneticPr fontId="6" type="noConversion"/>
  </si>
  <si>
    <t>창호신설 8/HW</t>
    <phoneticPr fontId="6" type="noConversion"/>
  </si>
  <si>
    <t>창호신설 9/HW</t>
    <phoneticPr fontId="6" type="noConversion"/>
  </si>
  <si>
    <t>창호신설 10/HW</t>
    <phoneticPr fontId="6" type="noConversion"/>
  </si>
  <si>
    <t>창호신설 11/HW</t>
    <phoneticPr fontId="6" type="noConversion"/>
  </si>
  <si>
    <t>창호신설 13/HW</t>
    <phoneticPr fontId="6" type="noConversion"/>
  </si>
  <si>
    <t>창호신설 14/HW</t>
    <phoneticPr fontId="6" type="noConversion"/>
  </si>
  <si>
    <t>창호신설 15/HW</t>
    <phoneticPr fontId="6" type="noConversion"/>
  </si>
  <si>
    <t>창호신설 16/HW</t>
    <phoneticPr fontId="6" type="noConversion"/>
  </si>
  <si>
    <t>1/SW</t>
    <phoneticPr fontId="6" type="noConversion"/>
  </si>
  <si>
    <t>2/SW</t>
    <phoneticPr fontId="6" type="noConversion"/>
  </si>
  <si>
    <t>3/SW</t>
    <phoneticPr fontId="6" type="noConversion"/>
  </si>
  <si>
    <t>4/SW</t>
    <phoneticPr fontId="6" type="noConversion"/>
  </si>
  <si>
    <t>5/SW</t>
    <phoneticPr fontId="6" type="noConversion"/>
  </si>
  <si>
    <t>6/SW</t>
    <phoneticPr fontId="6" type="noConversion"/>
  </si>
  <si>
    <t>7/SW</t>
    <phoneticPr fontId="6" type="noConversion"/>
  </si>
  <si>
    <t>8/SW</t>
    <phoneticPr fontId="6" type="noConversion"/>
  </si>
  <si>
    <t>3/HW</t>
    <phoneticPr fontId="6" type="noConversion"/>
  </si>
  <si>
    <t>4/HW</t>
    <phoneticPr fontId="6" type="noConversion"/>
  </si>
  <si>
    <t>5/HW</t>
    <phoneticPr fontId="6" type="noConversion"/>
  </si>
  <si>
    <t>6/HW</t>
    <phoneticPr fontId="6" type="noConversion"/>
  </si>
  <si>
    <t>7/HW</t>
    <phoneticPr fontId="6" type="noConversion"/>
  </si>
  <si>
    <t>8/HW</t>
    <phoneticPr fontId="6" type="noConversion"/>
  </si>
  <si>
    <t>9/HW</t>
    <phoneticPr fontId="6" type="noConversion"/>
  </si>
  <si>
    <t>10/HW</t>
    <phoneticPr fontId="6" type="noConversion"/>
  </si>
  <si>
    <t>11/HW</t>
    <phoneticPr fontId="6" type="noConversion"/>
  </si>
  <si>
    <t>13/HW</t>
    <phoneticPr fontId="6" type="noConversion"/>
  </si>
  <si>
    <t>14/HW</t>
    <phoneticPr fontId="6" type="noConversion"/>
  </si>
  <si>
    <t>15/HW</t>
    <phoneticPr fontId="6" type="noConversion"/>
  </si>
  <si>
    <t>16/HW</t>
    <phoneticPr fontId="6" type="noConversion"/>
  </si>
  <si>
    <t>24mm복층유리(5LE+14AR+6CL)</t>
  </si>
  <si>
    <t>24mm복층유리(5LE+14AR+7CL)</t>
  </si>
  <si>
    <t>24mm복층유리(5LE+14AR+8CL)</t>
  </si>
  <si>
    <t>24mm복층유리(5LE+14AR+9CL)</t>
  </si>
  <si>
    <t>나. 창호공사</t>
    <phoneticPr fontId="6" type="noConversion"/>
  </si>
  <si>
    <t>다. 유리공사</t>
    <phoneticPr fontId="6" type="noConversion"/>
  </si>
  <si>
    <t>라. 기타공사</t>
    <phoneticPr fontId="6" type="noConversion"/>
  </si>
  <si>
    <t>규격</t>
    <phoneticPr fontId="6" type="noConversion"/>
  </si>
  <si>
    <t>면적</t>
    <phoneticPr fontId="6" type="noConversion"/>
  </si>
  <si>
    <t>마. 폐기물 처리, 운반</t>
    <phoneticPr fontId="6" type="noConversion"/>
  </si>
  <si>
    <t>1/CAW</t>
  </si>
  <si>
    <t>3200x1800</t>
    <phoneticPr fontId="17" type="noConversion"/>
  </si>
  <si>
    <t>2/CAW</t>
  </si>
  <si>
    <t>3000x1800</t>
    <phoneticPr fontId="17" type="noConversion"/>
  </si>
  <si>
    <t>3000X1800</t>
    <phoneticPr fontId="17" type="noConversion"/>
  </si>
  <si>
    <t>2000x1800</t>
    <phoneticPr fontId="17" type="noConversion"/>
  </si>
  <si>
    <t>4/CAW</t>
  </si>
  <si>
    <t>1800x1500</t>
    <phoneticPr fontId="17" type="noConversion"/>
  </si>
  <si>
    <t>1700x1500</t>
    <phoneticPr fontId="17" type="noConversion"/>
  </si>
  <si>
    <t>6/CAW</t>
  </si>
  <si>
    <t>1500x1500</t>
    <phoneticPr fontId="17" type="noConversion"/>
  </si>
  <si>
    <t>8/CAW</t>
  </si>
  <si>
    <t>1200x1500</t>
    <phoneticPr fontId="17" type="noConversion"/>
  </si>
  <si>
    <t>9/CAW</t>
  </si>
  <si>
    <t>1000x1800</t>
    <phoneticPr fontId="17" type="noConversion"/>
  </si>
  <si>
    <t>10/CAW</t>
  </si>
  <si>
    <t>800x1800</t>
    <phoneticPr fontId="17" type="noConversion"/>
  </si>
  <si>
    <t>11/CAW</t>
  </si>
  <si>
    <t>800x1500</t>
    <phoneticPr fontId="17" type="noConversion"/>
  </si>
  <si>
    <t>방범창, 썬스크린 철거후 재설치</t>
    <phoneticPr fontId="6" type="noConversion"/>
  </si>
  <si>
    <t>고재대 포함</t>
    <phoneticPr fontId="6" type="noConversion"/>
  </si>
  <si>
    <t>창호신설 1/CAW</t>
    <phoneticPr fontId="6" type="noConversion"/>
  </si>
  <si>
    <t>창호신설 1A/CAW</t>
    <phoneticPr fontId="17" type="noConversion"/>
  </si>
  <si>
    <t>창호신설 2/CAW</t>
    <phoneticPr fontId="6" type="noConversion"/>
  </si>
  <si>
    <t>창호신설 2A/CAW</t>
    <phoneticPr fontId="17" type="noConversion"/>
  </si>
  <si>
    <t>창호신설 3/CAW</t>
    <phoneticPr fontId="6" type="noConversion"/>
  </si>
  <si>
    <t>창호신설 3A/CAW</t>
    <phoneticPr fontId="17" type="noConversion"/>
  </si>
  <si>
    <t>창호신설 4/CAW</t>
    <phoneticPr fontId="6" type="noConversion"/>
  </si>
  <si>
    <t>창호신설 5/CAW</t>
    <phoneticPr fontId="17" type="noConversion"/>
  </si>
  <si>
    <t>창호신설 6/CAW</t>
    <phoneticPr fontId="6" type="noConversion"/>
  </si>
  <si>
    <t>창호신설 8/CAW</t>
    <phoneticPr fontId="6" type="noConversion"/>
  </si>
  <si>
    <t>창호신설 8A/CAW</t>
    <phoneticPr fontId="17" type="noConversion"/>
  </si>
  <si>
    <t>창호신설 9/CAW</t>
    <phoneticPr fontId="6" type="noConversion"/>
  </si>
  <si>
    <t>창호신설 10/CAW</t>
    <phoneticPr fontId="6" type="noConversion"/>
  </si>
  <si>
    <t>창호신설 10A/CAW</t>
    <phoneticPr fontId="17" type="noConversion"/>
  </si>
  <si>
    <t>창호신설 11/CAW</t>
    <phoneticPr fontId="6" type="noConversion"/>
  </si>
  <si>
    <t>기존창호철거 4/SW</t>
    <phoneticPr fontId="6" type="noConversion"/>
  </si>
  <si>
    <t>기존창호철거 1/CAW</t>
    <phoneticPr fontId="6" type="noConversion"/>
  </si>
  <si>
    <t>기존창호철거 1A/CAW</t>
    <phoneticPr fontId="17" type="noConversion"/>
  </si>
  <si>
    <t>기존창호철거 2/CAW</t>
    <phoneticPr fontId="6" type="noConversion"/>
  </si>
  <si>
    <t>기존창호철거 2A/CAW</t>
    <phoneticPr fontId="17" type="noConversion"/>
  </si>
  <si>
    <t>기존창호철거 3/CAW</t>
    <phoneticPr fontId="6" type="noConversion"/>
  </si>
  <si>
    <t>기존창호철거 3A/CAW</t>
    <phoneticPr fontId="17" type="noConversion"/>
  </si>
  <si>
    <t>기존창호철거 4/CAW</t>
    <phoneticPr fontId="6" type="noConversion"/>
  </si>
  <si>
    <t>기존창호철거 5/CAW</t>
    <phoneticPr fontId="17" type="noConversion"/>
  </si>
  <si>
    <t>기존창호철거 6/CAW</t>
    <phoneticPr fontId="6" type="noConversion"/>
  </si>
  <si>
    <t>기존창호철거 8/CAW</t>
    <phoneticPr fontId="6" type="noConversion"/>
  </si>
  <si>
    <t>기존창호철거 9/CAW</t>
    <phoneticPr fontId="6" type="noConversion"/>
  </si>
  <si>
    <t>기존창호철거 8A/CAW</t>
    <phoneticPr fontId="17" type="noConversion"/>
  </si>
  <si>
    <t>기존창호철거 10/CAW</t>
    <phoneticPr fontId="6" type="noConversion"/>
  </si>
  <si>
    <t>기존창호철거 10A/CAW</t>
    <phoneticPr fontId="17" type="noConversion"/>
  </si>
  <si>
    <t>기존창호철거 11/CAW</t>
    <phoneticPr fontId="6" type="noConversion"/>
  </si>
  <si>
    <t>1A/CAW</t>
  </si>
  <si>
    <t>2A/CAW</t>
  </si>
  <si>
    <t>3A/CAW</t>
  </si>
  <si>
    <t>5/CAW</t>
  </si>
  <si>
    <t>8A/CAW</t>
  </si>
  <si>
    <t>10A/CAW</t>
  </si>
  <si>
    <t>보양 및 준공청소</t>
    <phoneticPr fontId="6" type="noConversion"/>
  </si>
  <si>
    <t>철물포함</t>
    <phoneticPr fontId="6" type="noConversion"/>
  </si>
  <si>
    <t>방범창, 썬스크린 철거후 (재설치)</t>
    <phoneticPr fontId="6" type="noConversion"/>
  </si>
  <si>
    <t>집기이동 포함</t>
    <phoneticPr fontId="6" type="noConversion"/>
  </si>
  <si>
    <t>집기이동포함</t>
    <phoneticPr fontId="6" type="noConversion"/>
  </si>
  <si>
    <t>2. 취업지원센터 창호교체</t>
    <phoneticPr fontId="6" type="noConversion"/>
  </si>
  <si>
    <t>롤방충망</t>
    <phoneticPr fontId="6" type="noConversion"/>
  </si>
  <si>
    <t>9/CAW, 10A/CAW</t>
    <phoneticPr fontId="6" type="noConversion"/>
  </si>
  <si>
    <t>(재+직노)x2.28%</t>
    <phoneticPr fontId="6" type="noConversion"/>
  </si>
  <si>
    <t>(재+노+경)x6%</t>
    <phoneticPr fontId="6" type="noConversion"/>
  </si>
  <si>
    <t>(노무비+경비+일반관리비)*10%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</si>
</sst>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3" formatCode="_-* #,##0.00_-;\-* #,##0.00_-;_-* &quot;-&quot;??_-;_-@_-"/>
    <numFmt numFmtId="176" formatCode="#,###"/>
    <numFmt numFmtId="177" formatCode="#,##0.00;\-#,##0.00;#"/>
    <numFmt numFmtId="178" formatCode="#,###;\-#,###;#"/>
    <numFmt numFmtId="179" formatCode="#,###;\-#,###;#;"/>
    <numFmt numFmtId="180" formatCode="#,##0.00#;\-#,##0.00#;#"/>
    <numFmt numFmtId="182" formatCode="_-* #,##0.0_-;\-* #,##0.0_-;_-* &quot;-&quot;_-;_-@_-"/>
    <numFmt numFmtId="183" formatCode="0_ "/>
    <numFmt numFmtId="184" formatCode="_-* #,##0.0_-;\-* #,##0.0_-;_-* &quot;-&quot;?_-;_-@_-"/>
    <numFmt numFmtId="185" formatCode="_-* #,##0.00_-;\-* #,##0.00_-;_-* &quot;-&quot;_-;_-@_-"/>
  </numFmts>
  <fonts count="18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scheme val="minor"/>
    </font>
    <font>
      <sz val="11"/>
      <color theme="1"/>
      <name val="맑은 고딕"/>
      <family val="3"/>
    </font>
    <font>
      <b/>
      <sz val="11"/>
      <color theme="1"/>
      <name val="맑은 고딕"/>
      <family val="3"/>
    </font>
    <font>
      <b/>
      <u/>
      <sz val="16"/>
      <color theme="1"/>
      <name val="돋움체"/>
      <family val="3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굴림체"/>
      <family val="2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2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</cellStyleXfs>
  <cellXfs count="118">
    <xf numFmtId="0" fontId="0" fillId="0" borderId="0" xfId="0"/>
    <xf numFmtId="0" fontId="3" fillId="0" borderId="1" xfId="0" applyFont="1" applyBorder="1" applyAlignment="1">
      <alignment horizontal="right" vertical="center" shrinkToFit="1"/>
    </xf>
    <xf numFmtId="0" fontId="3" fillId="0" borderId="3" xfId="0" applyFont="1" applyBorder="1" applyAlignment="1">
      <alignment horizontal="right" vertical="center" shrinkToFit="1"/>
    </xf>
    <xf numFmtId="0" fontId="3" fillId="0" borderId="1" xfId="0" applyFont="1" applyBorder="1" applyAlignment="1">
      <alignment horizontal="left" vertical="center" shrinkToFit="1"/>
    </xf>
    <xf numFmtId="176" fontId="3" fillId="0" borderId="1" xfId="0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left" vertical="center" shrinkToFit="1"/>
    </xf>
    <xf numFmtId="177" fontId="3" fillId="0" borderId="1" xfId="0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right" vertical="center" shrinkToFit="1"/>
    </xf>
    <xf numFmtId="0" fontId="3" fillId="0" borderId="3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left" vertical="center" shrinkToFit="1"/>
    </xf>
    <xf numFmtId="0" fontId="10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41" fontId="10" fillId="0" borderId="1" xfId="3" applyFont="1" applyFill="1" applyBorder="1" applyAlignment="1">
      <alignment horizontal="center" vertical="center" shrinkToFit="1"/>
    </xf>
    <xf numFmtId="41" fontId="10" fillId="0" borderId="1" xfId="3" applyFont="1" applyFill="1" applyBorder="1" applyAlignment="1">
      <alignment horizontal="right" vertical="center" shrinkToFit="1"/>
    </xf>
    <xf numFmtId="0" fontId="10" fillId="0" borderId="1" xfId="0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left" vertical="center" shrinkToFit="1"/>
    </xf>
    <xf numFmtId="0" fontId="0" fillId="0" borderId="0" xfId="0" applyFill="1"/>
    <xf numFmtId="0" fontId="4" fillId="0" borderId="1" xfId="0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horizontal="center" vertical="center"/>
    </xf>
    <xf numFmtId="41" fontId="11" fillId="0" borderId="1" xfId="3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0" xfId="0" applyFont="1" applyFill="1"/>
    <xf numFmtId="0" fontId="4" fillId="0" borderId="1" xfId="0" applyFont="1" applyFill="1" applyBorder="1" applyAlignment="1">
      <alignment horizontal="center" vertical="center" shrinkToFit="1"/>
    </xf>
    <xf numFmtId="41" fontId="11" fillId="0" borderId="1" xfId="3" applyFont="1" applyFill="1" applyBorder="1" applyAlignment="1">
      <alignment horizontal="right" vertical="center"/>
    </xf>
    <xf numFmtId="179" fontId="10" fillId="0" borderId="1" xfId="0" applyNumberFormat="1" applyFont="1" applyFill="1" applyBorder="1" applyAlignment="1">
      <alignment horizontal="right" vertical="center" shrinkToFit="1"/>
    </xf>
    <xf numFmtId="179" fontId="3" fillId="0" borderId="1" xfId="0" applyNumberFormat="1" applyFont="1" applyFill="1" applyBorder="1" applyAlignment="1">
      <alignment horizontal="right" vertical="center" shrinkToFit="1"/>
    </xf>
    <xf numFmtId="178" fontId="3" fillId="0" borderId="1" xfId="0" applyNumberFormat="1" applyFont="1" applyFill="1" applyBorder="1" applyAlignment="1">
      <alignment horizontal="right" vertical="center" shrinkToFit="1"/>
    </xf>
    <xf numFmtId="180" fontId="3" fillId="0" borderId="1" xfId="0" applyNumberFormat="1" applyFont="1" applyFill="1" applyBorder="1" applyAlignment="1">
      <alignment horizontal="right" vertical="center" shrinkToFit="1"/>
    </xf>
    <xf numFmtId="0" fontId="13" fillId="0" borderId="9" xfId="0" applyFont="1" applyBorder="1" applyAlignment="1">
      <alignment horizontal="center" vertical="center"/>
    </xf>
    <xf numFmtId="0" fontId="13" fillId="0" borderId="0" xfId="0" applyFont="1"/>
    <xf numFmtId="0" fontId="2" fillId="0" borderId="9" xfId="0" applyFont="1" applyBorder="1" applyAlignment="1">
      <alignment horizontal="left" vertical="center"/>
    </xf>
    <xf numFmtId="0" fontId="15" fillId="0" borderId="1" xfId="0" applyFont="1" applyFill="1" applyBorder="1" applyAlignment="1">
      <alignment horizontal="center" vertical="center"/>
    </xf>
    <xf numFmtId="41" fontId="0" fillId="0" borderId="0" xfId="3" applyFont="1" applyAlignment="1"/>
    <xf numFmtId="0" fontId="13" fillId="0" borderId="0" xfId="0" applyFont="1" applyFill="1" applyBorder="1"/>
    <xf numFmtId="182" fontId="10" fillId="0" borderId="1" xfId="3" applyNumberFormat="1" applyFont="1" applyFill="1" applyBorder="1" applyAlignment="1">
      <alignment horizontal="center" vertical="center" shrinkToFit="1"/>
    </xf>
    <xf numFmtId="182" fontId="11" fillId="0" borderId="1" xfId="3" applyNumberFormat="1" applyFont="1" applyBorder="1" applyAlignment="1">
      <alignment vertical="center"/>
    </xf>
    <xf numFmtId="182" fontId="13" fillId="0" borderId="9" xfId="3" applyNumberFormat="1" applyFont="1" applyBorder="1" applyAlignment="1">
      <alignment horizontal="center" vertical="center"/>
    </xf>
    <xf numFmtId="182" fontId="2" fillId="0" borderId="9" xfId="3" applyNumberFormat="1" applyFont="1" applyBorder="1" applyAlignment="1">
      <alignment horizontal="center" vertical="center"/>
    </xf>
    <xf numFmtId="41" fontId="10" fillId="0" borderId="1" xfId="3" applyFont="1" applyBorder="1" applyAlignment="1">
      <alignment horizontal="right" vertical="center" wrapText="1" shrinkToFit="1"/>
    </xf>
    <xf numFmtId="41" fontId="10" fillId="0" borderId="1" xfId="3" applyFont="1" applyBorder="1" applyAlignment="1">
      <alignment horizontal="right" vertical="center" shrinkToFit="1"/>
    </xf>
    <xf numFmtId="0" fontId="16" fillId="0" borderId="1" xfId="0" applyFont="1" applyFill="1" applyBorder="1" applyAlignment="1">
      <alignment horizontal="left" vertical="center" shrinkToFit="1"/>
    </xf>
    <xf numFmtId="0" fontId="0" fillId="0" borderId="0" xfId="0" applyFill="1" applyBorder="1"/>
    <xf numFmtId="41" fontId="13" fillId="0" borderId="0" xfId="0" applyNumberFormat="1" applyFont="1" applyBorder="1"/>
    <xf numFmtId="0" fontId="11" fillId="2" borderId="1" xfId="0" applyFont="1" applyFill="1" applyBorder="1" applyAlignment="1">
      <alignment horizontal="center" vertical="center"/>
    </xf>
    <xf numFmtId="41" fontId="10" fillId="2" borderId="1" xfId="3" applyFont="1" applyFill="1" applyBorder="1" applyAlignment="1">
      <alignment horizontal="center" vertical="center" shrinkToFit="1"/>
    </xf>
    <xf numFmtId="41" fontId="11" fillId="2" borderId="1" xfId="3" applyFont="1" applyFill="1" applyBorder="1" applyAlignment="1">
      <alignment horizontal="right" vertical="center"/>
    </xf>
    <xf numFmtId="0" fontId="10" fillId="2" borderId="1" xfId="0" applyFont="1" applyFill="1" applyBorder="1" applyAlignment="1">
      <alignment horizontal="left" vertical="center" shrinkToFit="1"/>
    </xf>
    <xf numFmtId="0" fontId="0" fillId="2" borderId="0" xfId="0" applyFill="1"/>
    <xf numFmtId="0" fontId="13" fillId="2" borderId="9" xfId="0" applyFont="1" applyFill="1" applyBorder="1" applyAlignment="1">
      <alignment horizontal="center" vertical="center"/>
    </xf>
    <xf numFmtId="182" fontId="13" fillId="2" borderId="9" xfId="3" applyNumberFormat="1" applyFont="1" applyFill="1" applyBorder="1" applyAlignment="1">
      <alignment horizontal="center" vertical="center"/>
    </xf>
    <xf numFmtId="41" fontId="10" fillId="2" borderId="1" xfId="3" applyFont="1" applyFill="1" applyBorder="1" applyAlignment="1">
      <alignment horizontal="right" vertical="center" wrapText="1" shrinkToFit="1"/>
    </xf>
    <xf numFmtId="0" fontId="13" fillId="2" borderId="0" xfId="0" applyFont="1" applyFill="1" applyAlignment="1">
      <alignment horizontal="center" vertical="center"/>
    </xf>
    <xf numFmtId="0" fontId="13" fillId="2" borderId="0" xfId="0" applyFont="1" applyFill="1"/>
    <xf numFmtId="0" fontId="13" fillId="2" borderId="0" xfId="0" applyFont="1" applyFill="1" applyBorder="1"/>
    <xf numFmtId="183" fontId="0" fillId="0" borderId="0" xfId="0" applyNumberFormat="1" applyFill="1"/>
    <xf numFmtId="41" fontId="10" fillId="0" borderId="1" xfId="3" applyFont="1" applyFill="1" applyBorder="1" applyAlignment="1">
      <alignment horizontal="right" vertical="center" wrapText="1" shrinkToFit="1"/>
    </xf>
    <xf numFmtId="41" fontId="13" fillId="0" borderId="0" xfId="0" applyNumberFormat="1" applyFont="1" applyFill="1" applyBorder="1"/>
    <xf numFmtId="0" fontId="13" fillId="0" borderId="9" xfId="0" applyFont="1" applyFill="1" applyBorder="1" applyAlignment="1">
      <alignment horizontal="center" vertical="center"/>
    </xf>
    <xf numFmtId="9" fontId="0" fillId="0" borderId="0" xfId="0" applyNumberFormat="1"/>
    <xf numFmtId="43" fontId="0" fillId="0" borderId="0" xfId="0" applyNumberFormat="1"/>
    <xf numFmtId="10" fontId="0" fillId="0" borderId="0" xfId="0" applyNumberFormat="1"/>
    <xf numFmtId="0" fontId="2" fillId="0" borderId="9" xfId="0" applyFont="1" applyBorder="1" applyAlignment="1">
      <alignment horizontal="center" vertical="center"/>
    </xf>
    <xf numFmtId="182" fontId="0" fillId="0" borderId="0" xfId="0" applyNumberFormat="1" applyFill="1" applyBorder="1"/>
    <xf numFmtId="0" fontId="2" fillId="0" borderId="9" xfId="0" applyFont="1" applyBorder="1" applyAlignment="1">
      <alignment horizontal="center" vertical="center"/>
    </xf>
    <xf numFmtId="41" fontId="0" fillId="0" borderId="1" xfId="3" applyFont="1" applyBorder="1">
      <alignment vertical="center"/>
    </xf>
    <xf numFmtId="41" fontId="0" fillId="0" borderId="9" xfId="3" applyFont="1" applyBorder="1">
      <alignment vertical="center"/>
    </xf>
    <xf numFmtId="0" fontId="10" fillId="0" borderId="9" xfId="0" applyFont="1" applyFill="1" applyBorder="1" applyAlignment="1">
      <alignment horizontal="left" vertical="center" shrinkToFit="1"/>
    </xf>
    <xf numFmtId="0" fontId="14" fillId="0" borderId="6" xfId="0" applyFont="1" applyFill="1" applyBorder="1" applyAlignment="1">
      <alignment horizontal="center" vertical="center"/>
    </xf>
    <xf numFmtId="41" fontId="14" fillId="0" borderId="1" xfId="3" applyFont="1" applyFill="1" applyBorder="1" applyAlignment="1">
      <alignment horizontal="center" vertical="center"/>
    </xf>
    <xf numFmtId="41" fontId="13" fillId="2" borderId="1" xfId="3" applyFont="1" applyFill="1" applyBorder="1" applyAlignment="1">
      <alignment horizontal="center" vertical="center"/>
    </xf>
    <xf numFmtId="41" fontId="0" fillId="0" borderId="1" xfId="3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10" fillId="0" borderId="1" xfId="3" applyFont="1" applyBorder="1" applyAlignment="1">
      <alignment horizontal="center" vertical="center" shrinkToFit="1"/>
    </xf>
    <xf numFmtId="41" fontId="0" fillId="0" borderId="1" xfId="3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1" fontId="11" fillId="0" borderId="1" xfId="3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41" fontId="13" fillId="2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1" fontId="13" fillId="0" borderId="0" xfId="0" applyNumberFormat="1" applyFont="1" applyBorder="1" applyAlignment="1">
      <alignment horizontal="center" vertical="center"/>
    </xf>
    <xf numFmtId="41" fontId="0" fillId="0" borderId="0" xfId="0" applyNumberFormat="1" applyFill="1"/>
    <xf numFmtId="0" fontId="1" fillId="0" borderId="1" xfId="0" applyFont="1" applyBorder="1" applyAlignment="1">
      <alignment horizontal="center" vertical="center"/>
    </xf>
    <xf numFmtId="41" fontId="13" fillId="0" borderId="1" xfId="3" applyFont="1" applyBorder="1">
      <alignment vertical="center"/>
    </xf>
    <xf numFmtId="182" fontId="0" fillId="0" borderId="1" xfId="3" applyNumberFormat="1" applyFont="1" applyBorder="1" applyAlignment="1">
      <alignment horizontal="center" vertical="center"/>
    </xf>
    <xf numFmtId="182" fontId="0" fillId="0" borderId="1" xfId="3" applyNumberFormat="1" applyFont="1" applyFill="1" applyBorder="1" applyAlignment="1">
      <alignment horizontal="center" vertical="center"/>
    </xf>
    <xf numFmtId="184" fontId="0" fillId="0" borderId="1" xfId="3" applyNumberFormat="1" applyFont="1" applyFill="1" applyBorder="1" applyAlignment="1">
      <alignment horizontal="center" vertical="center"/>
    </xf>
    <xf numFmtId="41" fontId="10" fillId="0" borderId="1" xfId="3" applyNumberFormat="1" applyFont="1" applyFill="1" applyBorder="1" applyAlignment="1">
      <alignment horizontal="center" vertical="center" shrinkToFit="1"/>
    </xf>
    <xf numFmtId="41" fontId="13" fillId="0" borderId="9" xfId="3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shrinkToFit="1"/>
    </xf>
    <xf numFmtId="41" fontId="3" fillId="0" borderId="1" xfId="0" applyNumberFormat="1" applyFont="1" applyBorder="1" applyAlignment="1">
      <alignment horizontal="left" vertical="center" shrinkToFit="1"/>
    </xf>
    <xf numFmtId="185" fontId="10" fillId="0" borderId="1" xfId="3" applyNumberFormat="1" applyFont="1" applyFill="1" applyBorder="1" applyAlignment="1">
      <alignment horizontal="center" vertical="center" shrinkToFit="1"/>
    </xf>
    <xf numFmtId="9" fontId="13" fillId="0" borderId="0" xfId="0" applyNumberFormat="1" applyFont="1"/>
    <xf numFmtId="41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shrinkToFit="1"/>
    </xf>
    <xf numFmtId="176" fontId="3" fillId="3" borderId="1" xfId="0" applyNumberFormat="1" applyFont="1" applyFill="1" applyBorder="1" applyAlignment="1">
      <alignment horizontal="right" vertical="center" shrinkToFit="1"/>
    </xf>
    <xf numFmtId="0" fontId="3" fillId="3" borderId="1" xfId="0" applyFont="1" applyFill="1" applyBorder="1" applyAlignment="1">
      <alignment horizontal="left" vertical="center" shrinkToFit="1"/>
    </xf>
  </cellXfs>
  <cellStyles count="5">
    <cellStyle name="쉼표 [0]" xfId="3" builtinId="6"/>
    <cellStyle name="쉼표 [0] 2" xfId="2" xr:uid="{0165A25E-F3D6-4104-ACEE-67AF0B35156D}"/>
    <cellStyle name="쉼표 [0] 4" xfId="4" xr:uid="{091F06CC-00D0-40E4-B547-6D636AC58BFC}"/>
    <cellStyle name="표준" xfId="0" builtinId="0"/>
    <cellStyle name="표준 2 2" xfId="1" xr:uid="{1833FEE2-6AB2-454C-BBD6-FB7224021C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23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617;&#49688;\C\My%20Documents\&#52397;&#46020;&#49548;&#54616;&#52380;\&#55121;&#49437;&#51228;\99&#45380;&#55121;&#49437;&#51228;&#5120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DATAPCS\DD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SHCOOL\&#44221;&#49328;1\&#50745;&#4831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51228;&#51068;&#50504;&#4428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49436;&#45824;&#44396;%20&#50896;&#44032;&#44228;&#49328;(&#51204;&#52404;)\6.24\EXCEL\DATAPCS\DD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e-50\BAESU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2002city\city\&#45432;&#46041;~&#50724;&#47448;&#44036;&#46020;&#47196;&#54869;&#54252;&#51109;&#44277;&#49324;\&#52509;&#44292;&#49688;&#47049;\2&#48176;&#49688;&#44277;&#51665;&#44228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부하_성남_"/>
      <sheetName val="내역서"/>
      <sheetName val="일위대가"/>
      <sheetName val="FORM-0"/>
      <sheetName val="중기일위대가"/>
      <sheetName val="조도계산서 (도서)"/>
      <sheetName val="인건비"/>
      <sheetName val="노임단가"/>
      <sheetName val="Sheet1"/>
      <sheetName val="공사비예산서(토목분)"/>
      <sheetName val="가도공"/>
      <sheetName val="SD"/>
      <sheetName val="중기사용료"/>
      <sheetName val="정부노임단가"/>
      <sheetName val="전차선로 물량표"/>
      <sheetName val="집수정(600-700)"/>
      <sheetName val="수질정화시설"/>
      <sheetName val="단면가정"/>
      <sheetName val="설계조건"/>
      <sheetName val="부재력정리"/>
      <sheetName val="LOPCALC"/>
      <sheetName val="대로근거"/>
      <sheetName val="중로근거"/>
      <sheetName val="바닥판"/>
      <sheetName val="내역"/>
      <sheetName val="현장지지물물량"/>
      <sheetName val="전기실및집수정"/>
      <sheetName val="Ç¥Áö(½Â´Þ¹®¿¹È¸°ü)"/>
      <sheetName val="º¯¾Ð±â¿ë·®"/>
      <sheetName val="¹ßÀü±â"/>
      <sheetName val="¹ßÀü±âºÎÇÏ"/>
      <sheetName val="ÃàÀüÁö"/>
      <sheetName val="Àü¾ÐÁ¶°Ç"/>
      <sheetName val="Àü¾Ð°­ÇÏ°è»ê¼­"/>
      <sheetName val="ºÎÇÏÁ¶°Ç"/>
      <sheetName val="ºÎÇÏ°è»ê¼­"/>
      <sheetName val="ºÎÇÏ(¼º³²)"/>
      <sheetName val="ºÎÇÏ_¼º³²_"/>
      <sheetName val="기기리스트"/>
      <sheetName val="Sheet17"/>
      <sheetName val="가설건물"/>
      <sheetName val="2공구수량"/>
      <sheetName val="UEC영화관본공사내역"/>
      <sheetName val="BOJUNGGM"/>
      <sheetName val="L-type"/>
      <sheetName val="금액내역서"/>
      <sheetName val="내역표지"/>
      <sheetName val="아파트 "/>
      <sheetName val="자재단가"/>
      <sheetName val="제경비"/>
      <sheetName val="Macro1"/>
      <sheetName val="INPUT"/>
      <sheetName val="ABUT수량-A1"/>
      <sheetName val="노임이"/>
      <sheetName val="#REF"/>
      <sheetName val="조도계산서_(도서)"/>
      <sheetName val="단가비교"/>
      <sheetName val="계약"/>
      <sheetName val="화전내"/>
      <sheetName val="교각계산"/>
      <sheetName val="별표총괄"/>
      <sheetName val="방송(체육관)"/>
      <sheetName val="골조시행"/>
      <sheetName val="EQUIP LIST"/>
      <sheetName val="BOM(Elec)"/>
      <sheetName val="TRE TABLE"/>
      <sheetName val="DATA"/>
      <sheetName val="사급자재"/>
      <sheetName val="집계표"/>
      <sheetName val="대전-교대(A1-A2)"/>
      <sheetName val="수량산출내역1115"/>
      <sheetName val="지급자재"/>
      <sheetName val="교각1"/>
      <sheetName val="타공종이기"/>
      <sheetName val="목차"/>
      <sheetName val="수량산출"/>
      <sheetName val="영창26"/>
      <sheetName val="공통"/>
      <sheetName val="기별"/>
      <sheetName val="설계명세서"/>
      <sheetName val="96작생능"/>
      <sheetName val="설직재-1"/>
      <sheetName val="다이꾸"/>
      <sheetName val="MOTOR"/>
      <sheetName val="001"/>
      <sheetName val="ⴭⴭⴭⴭ"/>
      <sheetName val="토목주소"/>
      <sheetName val="프랜트면허"/>
      <sheetName val="7.1유효폭"/>
      <sheetName val="현황산출서"/>
      <sheetName val="Sheet3"/>
      <sheetName val="U-TYPE(1)"/>
      <sheetName val="부하LOAD"/>
      <sheetName val="간선계산"/>
      <sheetName val="처리단락"/>
      <sheetName val="건축부하"/>
      <sheetName val="약전닥트"/>
      <sheetName val="일지-H"/>
      <sheetName val="김포IO"/>
      <sheetName val="LD"/>
      <sheetName val="FA설치명세"/>
      <sheetName val="조건표"/>
      <sheetName val="FD"/>
      <sheetName val="99관저"/>
      <sheetName val="역T형교대(말뚝기초)"/>
      <sheetName val="주식"/>
      <sheetName val="Sheet1 (2)"/>
      <sheetName val="PI"/>
      <sheetName val="XXXXXX"/>
      <sheetName val="갑지"/>
      <sheetName val="총괄"/>
      <sheetName val="표지"/>
      <sheetName val="3"/>
      <sheetName val="Sheet5"/>
      <sheetName val="예가표"/>
      <sheetName val="연돌일위집계"/>
      <sheetName val="99노임기준"/>
      <sheetName val="투찰"/>
      <sheetName val="Macro(전선)"/>
      <sheetName val="전기일위대가"/>
      <sheetName val="소비자가"/>
      <sheetName val="DATE"/>
      <sheetName val="조명시설"/>
      <sheetName val="단가표"/>
      <sheetName val="설계내역서"/>
      <sheetName val="tggwan(mac)"/>
      <sheetName val="TABLE"/>
      <sheetName val="FB25JN"/>
      <sheetName val="일위대가(가설)"/>
      <sheetName val="CC16-내역서"/>
      <sheetName val="개소별수량산출"/>
      <sheetName val="ITEM"/>
      <sheetName val="정렬"/>
      <sheetName val="데이타"/>
      <sheetName val="부대내역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설계예산서"/>
      <sheetName val="총계"/>
      <sheetName val="예산내역서"/>
      <sheetName val="노임"/>
      <sheetName val="소요자재"/>
      <sheetName val="노무산출서"/>
      <sheetName val="적용단위길이"/>
      <sheetName val="전차선로_물량표"/>
      <sheetName val="대치판정"/>
      <sheetName val="TRE_TABLE"/>
      <sheetName val="내역대비표"/>
      <sheetName val="항목등록"/>
      <sheetName val="입력값"/>
      <sheetName val="SRC-B3U2"/>
      <sheetName val="공통(20-91)"/>
      <sheetName val="한강운반비"/>
      <sheetName val="자재"/>
      <sheetName val="BEND LOSS"/>
      <sheetName val="Total"/>
      <sheetName val="시중노임단가"/>
      <sheetName val="철근단면적"/>
      <sheetName val="M3산출"/>
      <sheetName val="BAND(200)"/>
      <sheetName val="EL 표면적"/>
      <sheetName val="Detail"/>
      <sheetName val="인사자료총집계"/>
      <sheetName val="설계개요"/>
      <sheetName val="입찰안"/>
      <sheetName val="내역기준"/>
      <sheetName val="포장직선구간"/>
      <sheetName val="뚝토공"/>
      <sheetName val="투자효율분석"/>
      <sheetName val="법면"/>
      <sheetName val="부대공"/>
      <sheetName val="구조물공"/>
      <sheetName val="포장공"/>
      <sheetName val="토공"/>
      <sheetName val="배수공1"/>
      <sheetName val="토사(PE)"/>
      <sheetName val="비용적자료"/>
      <sheetName val="요율표(전기)"/>
      <sheetName val="E01"/>
      <sheetName val="MVE02"/>
      <sheetName val="단가"/>
      <sheetName val="0124"/>
      <sheetName val="M1"/>
      <sheetName val="Sheet6"/>
      <sheetName val="처리장"/>
      <sheetName val="하수관로"/>
      <sheetName val="수량"/>
      <sheetName val="특수기호강도거푸집"/>
      <sheetName val="종배수관면벽신"/>
      <sheetName val="종배수관(신)"/>
      <sheetName val="Pack-3"/>
      <sheetName val="QUOTATION"/>
      <sheetName val="QUOTATION (2)"/>
      <sheetName val="건축공사 내역"/>
      <sheetName val="배수공"/>
      <sheetName val="간지"/>
      <sheetName val="수로단위수량"/>
      <sheetName val="우각부보강"/>
      <sheetName val="몰탈콘크리트"/>
      <sheetName val="시공여유율"/>
      <sheetName val="차선도색현황"/>
      <sheetName val="4-3 보온 기본물량집계"/>
      <sheetName val="단중표"/>
      <sheetName val="200"/>
      <sheetName val="직노"/>
      <sheetName val="중동공구"/>
      <sheetName val="F4-F7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부하_성남_"/>
      <sheetName val="공통(20-91)"/>
      <sheetName val="LOPCALC"/>
      <sheetName val="관리사무소"/>
      <sheetName val="노임단가"/>
      <sheetName val="부하계산서"/>
      <sheetName val="MOTOR"/>
      <sheetName val="SUNGNAM1"/>
      <sheetName val="인허가수행 Schedule"/>
      <sheetName val="품셈기준"/>
      <sheetName val="BID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부하LOAD"/>
      <sheetName val="001"/>
      <sheetName val="조도계산서 (도서)"/>
      <sheetName val="바닥판"/>
      <sheetName val="가설건물"/>
      <sheetName val="외천교"/>
      <sheetName val="소비자가"/>
      <sheetName val="전차선로 물량표"/>
      <sheetName val="목차"/>
      <sheetName val="7.1유효폭"/>
      <sheetName val="요율"/>
      <sheetName val="Sheet2"/>
      <sheetName val="적용단위길이"/>
      <sheetName val="1"/>
      <sheetName val="BSD (2)"/>
      <sheetName val="단가정보"/>
      <sheetName val="INPUT DATA"/>
      <sheetName val="CSTSUM"/>
      <sheetName val="TRE TABLE"/>
      <sheetName val="DATA"/>
      <sheetName val="BQ"/>
      <sheetName val="산출2-기기동력"/>
      <sheetName val="전기실및집수정"/>
      <sheetName val="결선list"/>
      <sheetName val="#REF"/>
      <sheetName val="1공구(을)"/>
      <sheetName val="품목납기"/>
      <sheetName val="Macro1"/>
      <sheetName val="Macro2"/>
      <sheetName val="정렬"/>
      <sheetName val="토목변경"/>
      <sheetName val="날개벽수량표"/>
      <sheetName val="중기일위대가"/>
      <sheetName val="다이꾸"/>
      <sheetName val="L_RPTA05_목록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TEM"/>
      <sheetName val="1.설계조건"/>
      <sheetName val="ABUT수량-A1"/>
      <sheetName val="정부노임단가"/>
      <sheetName val="일위대가내역"/>
      <sheetName val="ⴭⴭⴭⴭ"/>
      <sheetName val="3련 BOX"/>
      <sheetName val="Sheet17"/>
      <sheetName val="U-TYPE(1)"/>
      <sheetName val="예산내역서"/>
      <sheetName val="설계예산서"/>
      <sheetName val="조명율표"/>
      <sheetName val="데이타"/>
      <sheetName val="자재테이블"/>
      <sheetName val="list"/>
      <sheetName val="기타유틸리티설비"/>
      <sheetName val="원가"/>
      <sheetName val="여흥"/>
      <sheetName val="c_balju"/>
      <sheetName val="wall"/>
      <sheetName val="발신정보"/>
      <sheetName val="주간기성"/>
      <sheetName val="적용토목"/>
      <sheetName val="단중표"/>
      <sheetName val="J直材4"/>
      <sheetName val="설계조건"/>
      <sheetName val="한강운반비"/>
      <sheetName val="자재"/>
      <sheetName val="토공및부대2차"/>
      <sheetName val="자재단가"/>
      <sheetName val="전력구구조물산근"/>
      <sheetName val="WORK"/>
      <sheetName val="L-type"/>
      <sheetName val="수량산출서"/>
      <sheetName val="금긋기 및 절단"/>
      <sheetName val="오산갈곳"/>
      <sheetName val="수질정화시설"/>
      <sheetName val="토사(PE)"/>
      <sheetName val="중기사용료"/>
      <sheetName val="횡배수관단위수량"/>
      <sheetName val="인건비"/>
      <sheetName val="표지 (2)"/>
      <sheetName val="노무비"/>
      <sheetName val="안정검토"/>
      <sheetName val="3BL공동구 수량"/>
      <sheetName val="산출내역서집계표"/>
      <sheetName val="96작생능"/>
      <sheetName val="MEXICO-C"/>
      <sheetName val="단가대비표 (3)"/>
      <sheetName val="일위대가"/>
      <sheetName val="FOOTING단면력"/>
      <sheetName val="입찰안"/>
      <sheetName val="타공종이기"/>
      <sheetName val="cost"/>
      <sheetName val="공사비집계"/>
      <sheetName val="환율"/>
      <sheetName val="원가계산서"/>
      <sheetName val="Sheet3"/>
      <sheetName val="품의서"/>
      <sheetName val="Sheet1"/>
      <sheetName val="포장공"/>
      <sheetName val=" 견적서"/>
      <sheetName val="환율-LIBOR"/>
      <sheetName val="산#2-1 (2)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BSD_(2)"/>
      <sheetName val="전차선로_물량표"/>
      <sheetName val="단가대비표_(3)"/>
      <sheetName val="산#2-1_(2)"/>
      <sheetName val="D-3503"/>
      <sheetName val="맨홀토공수량"/>
      <sheetName val="제잡비계산"/>
      <sheetName val="식재총괄"/>
      <sheetName val="시설물총괄"/>
      <sheetName val="건축총괄"/>
      <sheetName val="식재"/>
      <sheetName val="L형옹벽측구"/>
      <sheetName val="양식"/>
      <sheetName val="Code"/>
      <sheetName val="Import"/>
      <sheetName val="CNC810M"/>
      <sheetName val="공사비예산서(토목분)"/>
      <sheetName val="첨부"/>
      <sheetName val="Total"/>
      <sheetName val="교각계산"/>
      <sheetName val="GTG TR PIT"/>
      <sheetName val="현장지지물물량"/>
      <sheetName val="공정표"/>
      <sheetName val="공사원가계산서"/>
      <sheetName val="MACRO(MCC)"/>
      <sheetName val="주식"/>
      <sheetName val="CalcuSheet"/>
      <sheetName val="횡배위치"/>
      <sheetName val="일위대가목록"/>
      <sheetName val="주형"/>
      <sheetName val="위치조서"/>
      <sheetName val="실행품의서"/>
      <sheetName val="발전기계산서"/>
      <sheetName val="소요자재"/>
      <sheetName val="총괄"/>
      <sheetName val="부대내역"/>
      <sheetName val="조도계산서 _도서_"/>
      <sheetName val="입력DATA"/>
      <sheetName val="단"/>
      <sheetName val="내역"/>
      <sheetName val="인건-측정"/>
      <sheetName val="부안변전"/>
      <sheetName val="내역표지"/>
      <sheetName val="guard(mac)"/>
      <sheetName val="추가및 공제(방파제)"/>
      <sheetName val="기자재비"/>
      <sheetName val="직공비"/>
      <sheetName val="Sheet1 (2)"/>
      <sheetName val="49단가"/>
      <sheetName val="부대대비"/>
      <sheetName val="냉연집계"/>
      <sheetName val="Proposal"/>
      <sheetName val="CRF"/>
      <sheetName val="조명율데이타"/>
      <sheetName val="노임"/>
      <sheetName val="예정공정표"/>
      <sheetName val="총계"/>
      <sheetName val="전기일위대가"/>
      <sheetName val="금액내역서"/>
      <sheetName val="차액보증"/>
      <sheetName val="일반공사"/>
      <sheetName val="방배동내역(리라)"/>
      <sheetName val="CALCULATION"/>
      <sheetName val="현황산출서"/>
      <sheetName val="프랜트면허"/>
      <sheetName val="철근단면적"/>
      <sheetName val="Y-WORK"/>
      <sheetName val="철거산출근거"/>
      <sheetName val="토목주소"/>
      <sheetName val="EQUIP LIST"/>
      <sheetName val="목록"/>
      <sheetName val="mesc"/>
      <sheetName val="cable-data"/>
      <sheetName val="TABLE"/>
      <sheetName val="SILICATE"/>
      <sheetName val="견적시담(송포2공구)"/>
      <sheetName val="FEXS"/>
      <sheetName val="INPUT_DATA"/>
      <sheetName val="TRE_TABLE"/>
      <sheetName val="금긋기_및_절단"/>
      <sheetName val="3련_BOX"/>
      <sheetName val="1_설계조건"/>
      <sheetName val="표지_(2)"/>
      <sheetName val="3BL공동구_수량"/>
      <sheetName val="ilch"/>
      <sheetName val="보차도경계석"/>
      <sheetName val="HRSG SMALL07220"/>
      <sheetName val="토적계산"/>
      <sheetName val="Param"/>
      <sheetName val="기성집계"/>
      <sheetName val="hvac(제어동)"/>
      <sheetName val="COVER"/>
      <sheetName val="토공"/>
      <sheetName val="기초대가"/>
      <sheetName val="지진시"/>
      <sheetName val="1.우편집중내역서"/>
      <sheetName val="처리단락"/>
      <sheetName val="LD"/>
      <sheetName val="약전닥트"/>
      <sheetName val="건축부하"/>
      <sheetName val="일지-H"/>
      <sheetName val="FA설치명세"/>
      <sheetName val="김포IO"/>
      <sheetName val="Oper Amount"/>
      <sheetName val="일위대가(계측기설치)"/>
      <sheetName val="참조"/>
      <sheetName val="W-현원가"/>
      <sheetName val="CAL"/>
      <sheetName val="가시설(TYPE-A)"/>
      <sheetName val="1호맨홀가감수량"/>
      <sheetName val="1-1평균터파기고(1)"/>
      <sheetName val="1호맨홀수량산출"/>
      <sheetName val="배수관공"/>
      <sheetName val="배관BM(일반)"/>
      <sheetName val="효율&amp;역율"/>
      <sheetName val="BEND LOSS"/>
      <sheetName val="12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위수량"/>
      <sheetName val="토공"/>
      <sheetName val="규준틀"/>
      <sheetName val="배수공"/>
      <sheetName val="구조물공"/>
      <sheetName val="포장공"/>
      <sheetName val="부대공"/>
      <sheetName val="자재집계"/>
      <sheetName val="수량집계"/>
      <sheetName val="공사비조정"/>
      <sheetName val="표지(1)"/>
      <sheetName val="양식"/>
      <sheetName val="거리표"/>
      <sheetName val="설계설명서"/>
      <sheetName val="표지(2)"/>
      <sheetName val="원가"/>
      <sheetName val="원가계산"/>
      <sheetName val="공사재료표"/>
      <sheetName val="공사비총괄"/>
      <sheetName val="공사비명세서"/>
      <sheetName val="사급자재대"/>
      <sheetName val="사급자재"/>
      <sheetName val="관급자재대"/>
      <sheetName val="보상비"/>
      <sheetName val="일위대가"/>
      <sheetName val="절토"/>
      <sheetName val="터파기"/>
      <sheetName val="성토"/>
      <sheetName val="되메우기"/>
      <sheetName val="순성토"/>
      <sheetName val="깬잡석"/>
      <sheetName val="야면석채집"/>
      <sheetName val="줄떼"/>
      <sheetName val="모래운반"/>
      <sheetName val="시멘트운반"/>
      <sheetName val="비탈면규준틀"/>
      <sheetName val="조약돌채집"/>
      <sheetName val="잡석채집"/>
      <sheetName val="레미콘소운반"/>
      <sheetName val="중기운반1"/>
      <sheetName val="트레일러"/>
      <sheetName val="가설건물"/>
      <sheetName val="토 적"/>
      <sheetName val="토 적 (2-1)"/>
      <sheetName val="토 적 (2-2)"/>
      <sheetName val="토 적 (2-3)"/>
      <sheetName val="토 적 (2-4) "/>
      <sheetName val="토 적 (3-1)"/>
      <sheetName val="토 적 (3-2)"/>
      <sheetName val="규준틀 "/>
      <sheetName val="단가표지"/>
      <sheetName val="설계표지"/>
      <sheetName val="DATA"/>
      <sheetName val="덕전리"/>
      <sheetName val="금액내역서"/>
      <sheetName val="원가계산(건축)-출력 (건설폐기물처리비)"/>
      <sheetName val="수로단위수량"/>
      <sheetName val="총괄내역서"/>
      <sheetName val="6PILE  (돌출)"/>
      <sheetName val="단면 (2)"/>
      <sheetName val="경영상태"/>
      <sheetName val="EP0618"/>
      <sheetName val="공양식"/>
      <sheetName val="원가(총괄-각분야예시금액)"/>
      <sheetName val="Sheet1 (2)"/>
      <sheetName val="1호맨홀토공"/>
      <sheetName val="#REF"/>
      <sheetName val="DATE"/>
      <sheetName val="공종별집계표"/>
      <sheetName val="건축내역서"/>
      <sheetName val="4배"/>
      <sheetName val="가격조사서"/>
      <sheetName val="효성CB 1P기초"/>
      <sheetName val="J直材4"/>
      <sheetName val="전신환매도율"/>
      <sheetName val="공사비증감"/>
      <sheetName val="횡배수관수량"/>
      <sheetName val="종배수관수량집계표"/>
      <sheetName val="날개벽 총수량 집계"/>
      <sheetName val="면벽수량집계"/>
      <sheetName val="배수관수량집계"/>
      <sheetName val="배수관토공수량집계"/>
      <sheetName val="측구하단부종배수단위수"/>
      <sheetName val="부속동"/>
      <sheetName val="1.설계기준"/>
      <sheetName val="단면치수"/>
      <sheetName val="CTEMCOST"/>
      <sheetName val="99년흑석제전"/>
      <sheetName val="터널조도"/>
      <sheetName val="골조시행"/>
      <sheetName val="U-TYPE(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금액내역서"/>
    </sheetNames>
    <sheetDataSet>
      <sheetData sheetId="0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조도계산서 _도서_"/>
      <sheetName val="ITEM"/>
      <sheetName val="인건비"/>
      <sheetName val="정부노임단가"/>
      <sheetName val="중기일위대가"/>
      <sheetName val="MOTOR"/>
      <sheetName val="#REF"/>
      <sheetName val="IMP(MAIN)"/>
      <sheetName val="IMP (REACTOR)"/>
      <sheetName val="내역"/>
      <sheetName val="부하계산서"/>
      <sheetName val="부하(성남)"/>
      <sheetName val="중기사용료"/>
      <sheetName val="단가대비"/>
      <sheetName val="단가"/>
      <sheetName val="시설물일위"/>
      <sheetName val="건축내역"/>
      <sheetName val="B"/>
      <sheetName val="Y-WORK"/>
      <sheetName val="현황산출서"/>
      <sheetName val="직노"/>
      <sheetName val="실행내역"/>
      <sheetName val="견적시담(송포2공구)"/>
      <sheetName val="차액보증"/>
      <sheetName val="설계명세서"/>
      <sheetName val="일위대가"/>
      <sheetName val="2F 회의실견적(5_14 일대)"/>
      <sheetName val="횡배위치"/>
      <sheetName val="자재테이블"/>
      <sheetName val="단가산출집계"/>
      <sheetName val="SE-611"/>
      <sheetName val="별표 "/>
      <sheetName val="ABUT수량-A1"/>
      <sheetName val="산#3-1"/>
      <sheetName val="Sheet1"/>
      <sheetName val="실행예산"/>
      <sheetName val="출근부"/>
      <sheetName val="내역서"/>
      <sheetName val="WORK"/>
      <sheetName val="일반공사"/>
      <sheetName val="3BL공동구 수량"/>
      <sheetName val="현장지지물물량"/>
      <sheetName val="TYPE-B 평균H"/>
      <sheetName val="BQ"/>
      <sheetName val="DS-LOAD"/>
      <sheetName val="가시설(TYPE-A)"/>
      <sheetName val="1호맨홀가감수량"/>
      <sheetName val="1-1평균터파기고(1)"/>
      <sheetName val="1호맨홀수량산출"/>
      <sheetName val="을"/>
      <sheetName val="단위중량"/>
      <sheetName val="도급및 실행내역"/>
      <sheetName val="여흥"/>
      <sheetName val="원가"/>
      <sheetName val="D-3503"/>
      <sheetName val="CALCULATION"/>
      <sheetName val="TABLE"/>
      <sheetName val="내역1"/>
      <sheetName val="표지"/>
      <sheetName val="DATA(BAC)"/>
      <sheetName val="ilch"/>
      <sheetName val="명세서"/>
      <sheetName val="Macro(전선)"/>
      <sheetName val="부대내역"/>
      <sheetName val="금액내역서"/>
      <sheetName val="플랜트 설치"/>
      <sheetName val="K1자재(3차등)"/>
      <sheetName val="타공종이기"/>
      <sheetName val="토목내역"/>
      <sheetName val="견적서"/>
      <sheetName val="A-4"/>
      <sheetName val="방송노임"/>
      <sheetName val="9GNG운반"/>
      <sheetName val="내역서 "/>
      <sheetName val="노임단가(0.3)"/>
      <sheetName val="노임단가"/>
      <sheetName val="공사원가계산서"/>
      <sheetName val="토공총괄집계"/>
      <sheetName val="외자배분"/>
      <sheetName val="General Data"/>
      <sheetName val="Sheet4"/>
      <sheetName val="재료집계"/>
      <sheetName val="보집계표"/>
      <sheetName val="Proposal"/>
      <sheetName val="조인트"/>
      <sheetName val="조건표"/>
      <sheetName val="단가표 (2)"/>
      <sheetName val="토공"/>
      <sheetName val="지급자재"/>
      <sheetName val="수량산출서"/>
      <sheetName val="집계표"/>
      <sheetName val="I.설계조건"/>
      <sheetName val="경비_원본"/>
      <sheetName val="CTEMCOST"/>
      <sheetName val="오산갈곳"/>
      <sheetName val="대비"/>
      <sheetName val="DATA1"/>
      <sheetName val="단가조서"/>
      <sheetName val="교각계산"/>
      <sheetName val="소비자가"/>
      <sheetName val="콘크리트 블록 유형별 수량"/>
      <sheetName val="6PILE  (돌출)"/>
      <sheetName val="토사(PE)"/>
      <sheetName val="변화치수"/>
      <sheetName val="투자효율분석"/>
      <sheetName val="정렬"/>
      <sheetName val="자판실행"/>
      <sheetName val="신공"/>
      <sheetName val="일위대가목차"/>
      <sheetName val="단가대비표"/>
      <sheetName val="내역표지"/>
      <sheetName val="금액"/>
      <sheetName val="착공계"/>
      <sheetName val="말뚝물량"/>
      <sheetName val="도"/>
      <sheetName val="기계내역"/>
      <sheetName val="내력서"/>
      <sheetName val="壓降計算基本資料"/>
      <sheetName val="견적접수"/>
      <sheetName val="견적내역서"/>
      <sheetName val=" 견적서"/>
      <sheetName val="spec1"/>
      <sheetName val="깨기"/>
      <sheetName val="원형맨홀수량"/>
      <sheetName val="Total"/>
      <sheetName val="U-TYPE(1)"/>
      <sheetName val="FOOTING단면력"/>
      <sheetName val="터파기및재료"/>
      <sheetName val="반중력식옹벽3.5"/>
      <sheetName val="장비"/>
      <sheetName val="노무"/>
      <sheetName val="설계"/>
      <sheetName val="위치조서"/>
      <sheetName val="년도별시공"/>
      <sheetName val="Sheet1 (2)"/>
      <sheetName val="안정검토"/>
      <sheetName val="8.PILE  (돌출)"/>
      <sheetName val="2.내역서"/>
      <sheetName val="JOINT1"/>
      <sheetName val="Sheet3 (2)"/>
      <sheetName val="123"/>
      <sheetName val="cable"/>
      <sheetName val="2002계약현황"/>
      <sheetName val="단가표 "/>
      <sheetName val="근생APT-신마감"/>
      <sheetName val="복지관_FIART"/>
      <sheetName val="근생APT-FIART"/>
      <sheetName val="근생-FIART"/>
      <sheetName val="N賃率-職"/>
      <sheetName val="자재단가 산출근거"/>
      <sheetName val="가시설단위수량"/>
      <sheetName val="J형측구단위수량"/>
      <sheetName val="입력DATA"/>
      <sheetName val="바닥판"/>
      <sheetName val="CODE"/>
      <sheetName val="전기일위대가"/>
      <sheetName val="계산중"/>
      <sheetName val="D25"/>
      <sheetName val="D16"/>
      <sheetName val="D22"/>
      <sheetName val="경산"/>
      <sheetName val="연결임시"/>
      <sheetName val="plan&amp;section of foundation"/>
      <sheetName val="design load"/>
      <sheetName val="working load at the btm ft."/>
      <sheetName val="stability check"/>
      <sheetName val="design criteria"/>
      <sheetName val="다이꾸"/>
      <sheetName val="wall"/>
      <sheetName val="입찰견적보고서"/>
      <sheetName val="하수실행"/>
      <sheetName val="c_balju"/>
      <sheetName val="erl-b"/>
      <sheetName val="조도계산서_(도서)"/>
      <sheetName val="조도계산서__도서_"/>
      <sheetName val="IMP_(REACTOR)"/>
      <sheetName val="3BL공동구_수량"/>
      <sheetName val="별표_"/>
      <sheetName val="2F_회의실견적(5_14_일대)"/>
      <sheetName val="General_Data"/>
      <sheetName val="TYPE-B_평균H"/>
      <sheetName val="사각맨홀"/>
      <sheetName val="1단계"/>
      <sheetName val="자재집계표"/>
      <sheetName val="화산경계"/>
      <sheetName val="추가및 공제(방파제)"/>
      <sheetName val="수문보고"/>
      <sheetName val="부대tu"/>
      <sheetName val="공종별 집계"/>
      <sheetName val="노임"/>
      <sheetName val="계약내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시세"/>
      <sheetName val="인건-측정"/>
    </sheetNames>
    <sheetDataSet>
      <sheetData sheetId="0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단가 (1)"/>
      <sheetName val="단가 (2)"/>
      <sheetName val="단가 및 재료비"/>
      <sheetName val="중기사용료산출근거"/>
      <sheetName val="수량산출"/>
      <sheetName val="#REF"/>
      <sheetName val="03단가대비(내역자료)"/>
      <sheetName val="을"/>
      <sheetName val="건축내역"/>
      <sheetName val="내역서(건축)"/>
      <sheetName val="수량산출서"/>
      <sheetName val="내역"/>
      <sheetName val="중기일위대가"/>
      <sheetName val="내역서"/>
      <sheetName val="Sheet1"/>
      <sheetName val="데이타"/>
      <sheetName val="식재인부"/>
      <sheetName val="가설공사"/>
      <sheetName val="초기화면"/>
      <sheetName val="관급자재"/>
      <sheetName val="입찰안"/>
      <sheetName val="날개벽수량표"/>
      <sheetName val="계양가시설"/>
      <sheetName val="평가데이터"/>
      <sheetName val="22전선(P)"/>
      <sheetName val="22전선(L)"/>
      <sheetName val="22전선(R)"/>
      <sheetName val="한강운반비"/>
      <sheetName val="설계예시"/>
      <sheetName val="노임단가"/>
      <sheetName val="AS포장복구 "/>
      <sheetName val="데리네이타현황"/>
      <sheetName val="북제주원가"/>
      <sheetName val="단가"/>
      <sheetName val="시설물일위"/>
      <sheetName val="잡비계산"/>
      <sheetName val="원가계산서"/>
      <sheetName val="일반문틀 설치"/>
      <sheetName val="샌딩 에폭시 도장"/>
      <sheetName val="스텐문틀설치"/>
      <sheetName val="DATE"/>
      <sheetName val="관급자재대"/>
      <sheetName val="토목(대안)"/>
      <sheetName val="시설용량"/>
      <sheetName val="삭제금지단가"/>
      <sheetName val="EP0618"/>
      <sheetName val="일위대가목차"/>
      <sheetName val="Total"/>
      <sheetName val="평내중"/>
      <sheetName val="총괄내역"/>
      <sheetName val="총 원가계산"/>
      <sheetName val="예총"/>
      <sheetName val="입력"/>
      <sheetName val="경비_원본"/>
      <sheetName val="9."/>
      <sheetName val="각형맨홀"/>
      <sheetName val="케이블"/>
      <sheetName val="대치판정"/>
      <sheetName val="원가"/>
      <sheetName val="기타 정보통신공사"/>
      <sheetName val="설계명세서"/>
      <sheetName val="준검 내역서"/>
      <sheetName val="직재"/>
      <sheetName val="재집"/>
      <sheetName val="단가산출서 (2)"/>
      <sheetName val="단가산출서"/>
      <sheetName val="기존단가 (2)"/>
      <sheetName val="노무비"/>
      <sheetName val="AP1"/>
      <sheetName val="물가시세"/>
      <sheetName val="자재단가조사표-수목"/>
      <sheetName val="집계표_식재"/>
      <sheetName val="장비종합부표"/>
      <sheetName val="부표"/>
      <sheetName val="단면 (2)"/>
      <sheetName val="기둥(원형)"/>
      <sheetName val="교각1"/>
      <sheetName val="COPING"/>
      <sheetName val="가도공"/>
      <sheetName val="총괄메뉴"/>
      <sheetName val="내역서1-2"/>
      <sheetName val="요율"/>
      <sheetName val="정부노임"/>
      <sheetName val="방화산출"/>
      <sheetName val="NEYOK"/>
      <sheetName val="일위대가"/>
      <sheetName val="갑지"/>
      <sheetName val="집계표"/>
      <sheetName val="서울대규장각(가시설흙막이)"/>
      <sheetName val="Sheet2"/>
      <sheetName val="(산출)"/>
      <sheetName val="기계목록"/>
      <sheetName val="최적단면"/>
      <sheetName val="공사명입력"/>
      <sheetName val="근로자자료입력"/>
      <sheetName val="참고자료"/>
      <sheetName val="약품공급2"/>
      <sheetName val="01"/>
      <sheetName val="실행철강하도"/>
      <sheetName val="일위대가표"/>
      <sheetName val="6동"/>
      <sheetName val="오억미만"/>
      <sheetName val="손익분석"/>
      <sheetName val="MACRO(MCC)"/>
      <sheetName val="건축2"/>
      <sheetName val="덕전리"/>
      <sheetName val="BOX 단위수량"/>
      <sheetName val="박스제원"/>
      <sheetName val="1.토공집계표"/>
      <sheetName val="인건-측정"/>
      <sheetName val="단가조사"/>
      <sheetName val="계획금액"/>
      <sheetName val="base"/>
      <sheetName val="48일위"/>
      <sheetName val="입출재고현황 (2)"/>
      <sheetName val="대,유,램"/>
      <sheetName val="DATA"/>
      <sheetName val="세부내역(직접인건비)"/>
      <sheetName val="내역서1"/>
      <sheetName val="가로등"/>
      <sheetName val="빌딩 안내"/>
      <sheetName val="현장경비"/>
      <sheetName val="table"/>
      <sheetName val="교각(P1)수량"/>
      <sheetName val="경비"/>
      <sheetName val="ELECTRIC"/>
      <sheetName val="(전남)시범지구 운영실적 및 결과분석(8월까지)"/>
      <sheetName val="관급_File"/>
      <sheetName val="Sheet6"/>
      <sheetName val="수리보고서비"/>
      <sheetName val="콘크리트"/>
      <sheetName val="물가자료"/>
      <sheetName val="연습"/>
      <sheetName val="주소"/>
      <sheetName val="관급"/>
      <sheetName val="산출내역서집계표"/>
      <sheetName val="준공정산"/>
      <sheetName val="관리비비계상"/>
      <sheetName val="일위목록"/>
      <sheetName val="가설공사비"/>
      <sheetName val="도로구조공사비"/>
      <sheetName val="도로토공공사비"/>
      <sheetName val="여수토공사비"/>
      <sheetName val="내역(APT)"/>
      <sheetName val="22일위"/>
      <sheetName val="간선계산"/>
      <sheetName val="3BL공동구 수량"/>
      <sheetName val="정부노임단가"/>
      <sheetName val="2000전체분"/>
      <sheetName val="2000년1차"/>
      <sheetName val="도급"/>
      <sheetName val="POOM_MOTO"/>
      <sheetName val="POOM_MOTO2"/>
      <sheetName val="일위집계표"/>
      <sheetName val="방송(체육관)"/>
      <sheetName val="건축내역서"/>
      <sheetName val="설비내역서"/>
      <sheetName val="전기내역서"/>
      <sheetName val="101동"/>
      <sheetName val="표지"/>
      <sheetName val="GAS"/>
      <sheetName val="제경비율"/>
      <sheetName val="작성"/>
      <sheetName val="수목데이타"/>
      <sheetName val="bm(CIcable)"/>
      <sheetName val="준공조서"/>
      <sheetName val="공사준공계"/>
      <sheetName val="준공검사보고서"/>
      <sheetName val="왕십리방향"/>
      <sheetName val="전차선로 물량표"/>
      <sheetName val="실행(표지,갑,을)"/>
      <sheetName val="예산명세서"/>
      <sheetName val="자료입력"/>
      <sheetName val="코드"/>
      <sheetName val="원형1호맨홀토공수량"/>
      <sheetName val="집수정(600-700)"/>
      <sheetName val="문학간접"/>
      <sheetName val="동해title"/>
      <sheetName val="감액총괄표"/>
      <sheetName val="변경관급자재"/>
      <sheetName val="공사예산하조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일위목록"/>
      <sheetName val="자재단가"/>
      <sheetName val="장비경비"/>
      <sheetName val="대림경상68억"/>
      <sheetName val="JUCKEYK"/>
      <sheetName val="일위-1"/>
      <sheetName val="1,2공구원가계산서"/>
      <sheetName val="2공구산출내역"/>
      <sheetName val="단가산출"/>
      <sheetName val="1공구산출내역서"/>
      <sheetName val="남평내역"/>
      <sheetName val="하수급견적대비"/>
      <sheetName val="하남내역"/>
      <sheetName val="DATA1"/>
      <sheetName val="사통"/>
      <sheetName val="공내역"/>
      <sheetName val="변수값"/>
      <sheetName val="중기상차"/>
      <sheetName val="AS복구"/>
      <sheetName val="중기터파기"/>
      <sheetName val="견적"/>
      <sheetName val="POL6차-PIPING"/>
      <sheetName val="절감계산(보일러)"/>
      <sheetName val="G.R300경비"/>
      <sheetName val="도급예산내역서봉투"/>
      <sheetName val="공사원가계산서"/>
      <sheetName val="설계산출표지"/>
      <sheetName val="도급예산내역서총괄표"/>
      <sheetName val="설계산출기초"/>
      <sheetName val="을부담운반비"/>
      <sheetName val="운반비산출"/>
      <sheetName val="MOTOR"/>
      <sheetName val="전기"/>
      <sheetName val="일위대가 "/>
      <sheetName val="단가 _2_"/>
      <sheetName val="2층LOAD"/>
      <sheetName val="전기일위대가"/>
      <sheetName val="200"/>
      <sheetName val="계산서(곡선부)"/>
      <sheetName val="포장재료집계표"/>
      <sheetName val="우수받이"/>
      <sheetName val="data(완전)"/>
      <sheetName val="CTEMCOST"/>
      <sheetName val="단가대비"/>
      <sheetName val="7.경제성결과"/>
      <sheetName val="계수시트"/>
      <sheetName val="수로BOX"/>
      <sheetName val="정산내역서"/>
      <sheetName val="참조"/>
      <sheetName val="설계내역서"/>
      <sheetName val="표지1"/>
      <sheetName val="사무실1"/>
      <sheetName val="단가결정"/>
      <sheetName val="내역아"/>
      <sheetName val="울타리"/>
      <sheetName val="산출근거"/>
      <sheetName val="1) 안채산출 1"/>
      <sheetName val="1) 안채산출 2"/>
      <sheetName val="1) 안채산출 3-1"/>
      <sheetName val="1) 안채산출 5"/>
      <sheetName val="1안"/>
      <sheetName val="2000.11월설계내역"/>
      <sheetName val="특별교실"/>
      <sheetName val="원가data"/>
      <sheetName val="총괄"/>
      <sheetName val="설계예산2"/>
      <sheetName val="전등설비"/>
    </sheetNames>
    <sheetDataSet>
      <sheetData sheetId="0" refreshError="1"/>
      <sheetData sheetId="1"/>
      <sheetData sheetId="2" refreshError="1">
        <row r="5">
          <cell r="H5">
            <v>867</v>
          </cell>
          <cell r="I5">
            <v>1685</v>
          </cell>
          <cell r="J5">
            <v>918</v>
          </cell>
          <cell r="K5">
            <v>1693</v>
          </cell>
        </row>
        <row r="6">
          <cell r="H6">
            <v>867</v>
          </cell>
        </row>
        <row r="7">
          <cell r="H7">
            <v>867</v>
          </cell>
        </row>
        <row r="8">
          <cell r="H8">
            <v>867</v>
          </cell>
        </row>
        <row r="9">
          <cell r="H9">
            <v>867</v>
          </cell>
        </row>
        <row r="10">
          <cell r="H10">
            <v>867</v>
          </cell>
        </row>
        <row r="11">
          <cell r="H11">
            <v>867</v>
          </cell>
        </row>
        <row r="12">
          <cell r="H12">
            <v>873</v>
          </cell>
        </row>
        <row r="13">
          <cell r="H13">
            <v>873</v>
          </cell>
        </row>
        <row r="14">
          <cell r="H14">
            <v>873</v>
          </cell>
        </row>
        <row r="15">
          <cell r="H15">
            <v>873</v>
          </cell>
        </row>
        <row r="16">
          <cell r="H16">
            <v>873</v>
          </cell>
        </row>
        <row r="17">
          <cell r="H17">
            <v>873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 (6)"/>
      <sheetName val="Module1 (5)"/>
      <sheetName val="Module1 (4)"/>
      <sheetName val="Module1 (3)"/>
      <sheetName val="Module1 (2)"/>
      <sheetName val="Module1 (7)"/>
      <sheetName val="Module4"/>
      <sheetName val="실행결재"/>
      <sheetName val="집계표"/>
      <sheetName val="통합원가"/>
      <sheetName val="골재량 비교"/>
      <sheetName val="제일안과병원"/>
      <sheetName val="공사비 비교표"/>
      <sheetName val="전기재료관"/>
      <sheetName val="관리비"/>
      <sheetName val="총 원가계산"/>
      <sheetName val="견적요지2"/>
      <sheetName val="Module1"/>
      <sheetName val="계산식"/>
      <sheetName val="Module5"/>
      <sheetName val="단가"/>
      <sheetName val="단가 (2)"/>
      <sheetName val="제일안과"/>
      <sheetName val="노임단가"/>
      <sheetName val="식재수량표"/>
      <sheetName val="수목단가"/>
      <sheetName val="시설수량표"/>
      <sheetName val="일위목록"/>
      <sheetName val="자재단가"/>
      <sheetName val="Total"/>
      <sheetName val="약품공급2"/>
      <sheetName val="안전장치"/>
      <sheetName val="삭제금지단가"/>
      <sheetName val="원가계산서"/>
      <sheetName val="일위대가"/>
      <sheetName val="데이타"/>
      <sheetName val="식재인부"/>
      <sheetName val="날개벽수량표"/>
      <sheetName val="말뚝지지력산정"/>
      <sheetName val="지수"/>
      <sheetName val="건축내역서"/>
      <sheetName val="설비내역서"/>
      <sheetName val="전기내역서"/>
      <sheetName val="전기"/>
      <sheetName val="#REF"/>
      <sheetName val="내역서"/>
      <sheetName val="소방"/>
      <sheetName val="내역서1999.8최종"/>
      <sheetName val="수량산출서"/>
      <sheetName val="준공조서"/>
      <sheetName val="공사준공계"/>
      <sheetName val="준공검사보고서"/>
      <sheetName val="기초자료입력"/>
      <sheetName val="설계명세서"/>
      <sheetName val="준공정산"/>
      <sheetName val="케이블트레이"/>
      <sheetName val="물가시세"/>
      <sheetName val="VXXXXXXX"/>
      <sheetName val="2.대외공문"/>
      <sheetName val="기본단가표"/>
      <sheetName val="Module1_(6)"/>
      <sheetName val="Module1_(5)"/>
      <sheetName val="Module1_(4)"/>
      <sheetName val="Module1_(3)"/>
      <sheetName val="Module1_(2)"/>
      <sheetName val="Module1_(7)"/>
      <sheetName val="골재량_비교"/>
      <sheetName val="공사비_비교표"/>
      <sheetName val="총_원가계산"/>
      <sheetName val="단가대조"/>
      <sheetName val="일반부표"/>
      <sheetName val="입찰안"/>
      <sheetName val="설계기준"/>
      <sheetName val="내역1"/>
      <sheetName val="8.석축단위(H=1.5M)"/>
      <sheetName val="가설물량산출서"/>
      <sheetName val="외부물량"/>
      <sheetName val="창호물량산출서"/>
      <sheetName val="건축"/>
      <sheetName val="원가"/>
      <sheetName val="ELECTRIC"/>
      <sheetName val="재료값"/>
      <sheetName val="SAM"/>
      <sheetName val="역T형교대(말뚝기초)"/>
      <sheetName val="관급자재대"/>
      <sheetName val="산출내역서집계표"/>
      <sheetName val="N賃率-職"/>
      <sheetName val="원가계산"/>
      <sheetName val="철거산출근거"/>
      <sheetName val="구체"/>
      <sheetName val="좌측날개벽"/>
      <sheetName val="우측날개벽"/>
      <sheetName val="공사개요"/>
      <sheetName val="수량산출"/>
      <sheetName val="중기경비목록"/>
      <sheetName val="돌담교 상부수량"/>
      <sheetName val="단중표"/>
      <sheetName val="시중노임단가"/>
      <sheetName val="일위대가-1"/>
      <sheetName val="실행철강하도"/>
      <sheetName val="갑지"/>
      <sheetName val="99노임기준"/>
      <sheetName val="골조시행"/>
      <sheetName val="방송(체육관)"/>
      <sheetName val="SLAB&quot;1&quot;"/>
      <sheetName val="공사원가계산서"/>
      <sheetName val="도급예산내역서총괄표"/>
      <sheetName val="요율표"/>
      <sheetName val="구조물철거타공정이월"/>
      <sheetName val="중기손료"/>
      <sheetName val="내역서 제출"/>
      <sheetName val="Sheet1"/>
      <sheetName val="정부노임"/>
      <sheetName val="방화산출"/>
      <sheetName val="H-PILE수량집계"/>
      <sheetName val="조명시설"/>
      <sheetName val="토목공사"/>
      <sheetName val="건축공사"/>
      <sheetName val="토목집계표"/>
      <sheetName val="2000전체분"/>
      <sheetName val="2000년1차"/>
      <sheetName val="재노경"/>
      <sheetName val="최초설계"/>
      <sheetName val="을"/>
      <sheetName val="시노501"/>
      <sheetName val="MOTOR"/>
      <sheetName val="I一般比"/>
      <sheetName val="건축내역"/>
      <sheetName val="입출재고현황 (2)"/>
      <sheetName val="기초단가"/>
      <sheetName val="차액보증"/>
      <sheetName val="관리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물가시세"/>
      <sheetName val="목차"/>
      <sheetName val="Sheet1"/>
      <sheetName val="인건비"/>
      <sheetName val="실행철강하도"/>
      <sheetName val="내역서 (2)"/>
      <sheetName val="내역서"/>
      <sheetName val="집계"/>
      <sheetName val="개요"/>
      <sheetName val="추가예산"/>
      <sheetName val="위치"/>
      <sheetName val="DDD"/>
      <sheetName val="산출내역서집계표"/>
      <sheetName val="목록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L형측구-1"/>
      <sheetName val="L형측구-2"/>
      <sheetName val="L형측구-3"/>
      <sheetName val="L옹벽형측구"/>
      <sheetName val="U형측구"/>
      <sheetName val="J형측구"/>
      <sheetName val="맹암거"/>
      <sheetName val="용수개거"/>
      <sheetName val="L-U형측구"/>
      <sheetName val="U형측구뚜껑"/>
      <sheetName val="종배수관 면벽"/>
      <sheetName val="종배수관수량집계"/>
      <sheetName val="횡배수관단위수량"/>
      <sheetName val="횡배토면적"/>
      <sheetName val="횡배토집계"/>
      <sheetName val="횡배수관수량집계"/>
      <sheetName val="Sheet2"/>
      <sheetName val="Sheet3"/>
      <sheetName val="Sheet15"/>
      <sheetName val="DATA"/>
      <sheetName val="Module1"/>
      <sheetName val="Module2"/>
      <sheetName val="Module3"/>
      <sheetName val="Module4"/>
      <sheetName val="Module5"/>
      <sheetName val="Module6"/>
      <sheetName val="Module7"/>
      <sheetName val="Module8"/>
      <sheetName val="Module9"/>
      <sheetName val="Sheet1"/>
      <sheetName val="6동"/>
      <sheetName val="인건-측정"/>
      <sheetName val="인사자료총집계"/>
      <sheetName val="전신환매도율"/>
      <sheetName val="BAESU"/>
      <sheetName val="일위대가"/>
      <sheetName val="산출(전기)"/>
      <sheetName val="입찰안"/>
      <sheetName val="품셈TABLE"/>
      <sheetName val="#REF"/>
      <sheetName val="단위중량표"/>
      <sheetName val="내역"/>
      <sheetName val="소방"/>
      <sheetName val="횡날개수집"/>
      <sheetName val="설 계"/>
      <sheetName val="용소리교"/>
      <sheetName val="낙찰표"/>
      <sheetName val="배수통관(좌)"/>
      <sheetName val="간접재료비산출표-27-30"/>
      <sheetName val="수문일1"/>
      <sheetName val="단가조사-2"/>
      <sheetName val="노임단가"/>
      <sheetName val="수량산출"/>
      <sheetName val="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K2" t="str">
            <v>D</v>
          </cell>
          <cell r="L2" t="str">
            <v>T</v>
          </cell>
          <cell r="M2" t="str">
            <v>L</v>
          </cell>
          <cell r="N2" t="str">
            <v>W</v>
          </cell>
          <cell r="O2" t="str">
            <v>M</v>
          </cell>
          <cell r="P2" t="str">
            <v>N</v>
          </cell>
          <cell r="Q2" t="str">
            <v>C</v>
          </cell>
          <cell r="R2" t="str">
            <v>A</v>
          </cell>
          <cell r="S2" t="str">
            <v>E</v>
          </cell>
          <cell r="T2" t="str">
            <v>R'</v>
          </cell>
          <cell r="U2" t="str">
            <v>콘크리트</v>
          </cell>
          <cell r="V2" t="str">
            <v>거푸집</v>
          </cell>
          <cell r="W2" t="str">
            <v>몰    탈</v>
          </cell>
        </row>
        <row r="3">
          <cell r="K3">
            <v>300</v>
          </cell>
          <cell r="L3">
            <v>30</v>
          </cell>
          <cell r="M3">
            <v>30</v>
          </cell>
          <cell r="N3">
            <v>0.56000000000000005</v>
          </cell>
          <cell r="O3">
            <v>0.18</v>
          </cell>
          <cell r="P3">
            <v>0.16</v>
          </cell>
          <cell r="Q3">
            <v>0.33999999999999997</v>
          </cell>
          <cell r="R3">
            <v>1414</v>
          </cell>
          <cell r="S3">
            <v>24</v>
          </cell>
          <cell r="T3">
            <v>192</v>
          </cell>
          <cell r="U3">
            <v>0.14000000000000001</v>
          </cell>
          <cell r="V3">
            <v>0.68</v>
          </cell>
          <cell r="W3">
            <v>3.4000000000000002E-4</v>
          </cell>
        </row>
        <row r="4">
          <cell r="K4">
            <v>350</v>
          </cell>
          <cell r="L4">
            <v>32</v>
          </cell>
          <cell r="M4">
            <v>30</v>
          </cell>
          <cell r="N4">
            <v>0.61399999999999999</v>
          </cell>
          <cell r="O4">
            <v>0.20699999999999999</v>
          </cell>
          <cell r="P4">
            <v>0.16</v>
          </cell>
          <cell r="Q4">
            <v>0.36699999999999999</v>
          </cell>
          <cell r="R4">
            <v>1414</v>
          </cell>
          <cell r="S4">
            <v>24</v>
          </cell>
          <cell r="T4">
            <v>219</v>
          </cell>
          <cell r="U4">
            <v>0.158</v>
          </cell>
          <cell r="V4">
            <v>0.73399999999999999</v>
          </cell>
          <cell r="W4">
            <v>3.8999999999999999E-4</v>
          </cell>
        </row>
        <row r="5">
          <cell r="K5">
            <v>400</v>
          </cell>
          <cell r="L5">
            <v>35</v>
          </cell>
          <cell r="M5">
            <v>30</v>
          </cell>
          <cell r="N5">
            <v>0.67</v>
          </cell>
          <cell r="O5">
            <v>0.23499999999999999</v>
          </cell>
          <cell r="P5">
            <v>0.16</v>
          </cell>
          <cell r="Q5">
            <v>0.39500000000000002</v>
          </cell>
          <cell r="R5">
            <v>1414</v>
          </cell>
          <cell r="S5">
            <v>24</v>
          </cell>
          <cell r="T5">
            <v>247</v>
          </cell>
          <cell r="U5">
            <v>0.17799999999999999</v>
          </cell>
          <cell r="V5">
            <v>0.79</v>
          </cell>
          <cell r="W5">
            <v>4.4000000000000002E-4</v>
          </cell>
        </row>
        <row r="6">
          <cell r="K6">
            <v>450</v>
          </cell>
          <cell r="L6">
            <v>38</v>
          </cell>
          <cell r="M6">
            <v>30</v>
          </cell>
          <cell r="N6">
            <v>0.72599999999999998</v>
          </cell>
          <cell r="O6">
            <v>0.26300000000000001</v>
          </cell>
          <cell r="P6">
            <v>0.16</v>
          </cell>
          <cell r="Q6">
            <v>0.42300000000000004</v>
          </cell>
          <cell r="R6">
            <v>1414</v>
          </cell>
          <cell r="S6">
            <v>24</v>
          </cell>
          <cell r="T6">
            <v>275</v>
          </cell>
          <cell r="U6">
            <v>0.19800000000000001</v>
          </cell>
          <cell r="V6">
            <v>0.84599999999999997</v>
          </cell>
          <cell r="W6">
            <v>4.8999999999999998E-4</v>
          </cell>
        </row>
        <row r="7">
          <cell r="K7">
            <v>600</v>
          </cell>
          <cell r="L7">
            <v>50</v>
          </cell>
          <cell r="M7">
            <v>30</v>
          </cell>
          <cell r="N7">
            <v>0.9</v>
          </cell>
          <cell r="O7">
            <v>0.35</v>
          </cell>
          <cell r="P7">
            <v>0.25</v>
          </cell>
          <cell r="Q7">
            <v>0.6</v>
          </cell>
          <cell r="R7">
            <v>1414</v>
          </cell>
          <cell r="S7">
            <v>24</v>
          </cell>
          <cell r="T7">
            <v>362</v>
          </cell>
          <cell r="U7">
            <v>0.34799999999999998</v>
          </cell>
          <cell r="V7">
            <v>1.2</v>
          </cell>
          <cell r="W7">
            <v>6.4000000000000005E-4</v>
          </cell>
        </row>
        <row r="8">
          <cell r="K8">
            <v>800</v>
          </cell>
          <cell r="L8">
            <v>66</v>
          </cell>
          <cell r="M8">
            <v>50</v>
          </cell>
          <cell r="N8">
            <v>1.1319999999999999</v>
          </cell>
          <cell r="O8">
            <v>0.46600000000000003</v>
          </cell>
          <cell r="P8">
            <v>0.25</v>
          </cell>
          <cell r="Q8">
            <v>0.71599999999999997</v>
          </cell>
          <cell r="R8">
            <v>3927</v>
          </cell>
          <cell r="S8">
            <v>39</v>
          </cell>
          <cell r="T8">
            <v>486</v>
          </cell>
          <cell r="U8">
            <v>0.46899999999999997</v>
          </cell>
          <cell r="V8">
            <v>1.4319999999999999</v>
          </cell>
          <cell r="W8">
            <v>2.3999999999999998E-3</v>
          </cell>
        </row>
        <row r="9">
          <cell r="K9">
            <v>1000</v>
          </cell>
          <cell r="L9">
            <v>82</v>
          </cell>
          <cell r="M9">
            <v>50</v>
          </cell>
          <cell r="N9">
            <v>1.3640000000000001</v>
          </cell>
          <cell r="O9">
            <v>0.58199999999999996</v>
          </cell>
          <cell r="P9">
            <v>0.28000000000000003</v>
          </cell>
          <cell r="Q9">
            <v>0.86199999999999999</v>
          </cell>
          <cell r="R9">
            <v>3927</v>
          </cell>
          <cell r="S9">
            <v>39</v>
          </cell>
          <cell r="T9">
            <v>602</v>
          </cell>
          <cell r="U9">
            <v>0.64400000000000002</v>
          </cell>
          <cell r="V9">
            <v>1.724</v>
          </cell>
          <cell r="W9">
            <v>2.97E-3</v>
          </cell>
        </row>
        <row r="10">
          <cell r="K10">
            <v>1200</v>
          </cell>
          <cell r="L10">
            <v>95</v>
          </cell>
          <cell r="M10">
            <v>60</v>
          </cell>
          <cell r="N10">
            <v>1.59</v>
          </cell>
          <cell r="O10">
            <v>0.69499999999999995</v>
          </cell>
          <cell r="P10">
            <v>0.36</v>
          </cell>
          <cell r="Q10">
            <v>1.0549999999999999</v>
          </cell>
          <cell r="R10">
            <v>5655</v>
          </cell>
          <cell r="S10">
            <v>47</v>
          </cell>
          <cell r="T10">
            <v>719</v>
          </cell>
          <cell r="U10">
            <v>0.91900000000000004</v>
          </cell>
          <cell r="V10">
            <v>2.11</v>
          </cell>
          <cell r="W10">
            <v>5.11E-3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총 원가계산"/>
      <sheetName val="DATA"/>
      <sheetName val="집계"/>
      <sheetName val="일위대가"/>
      <sheetName val="옹벽단면치수"/>
      <sheetName val="#REF"/>
      <sheetName val="2배수공집계표"/>
      <sheetName val="청 구"/>
      <sheetName val="횡배수관토공수량"/>
      <sheetName val="전기공사"/>
      <sheetName val="단가산출"/>
      <sheetName val="실행철강하도"/>
      <sheetName val="설 계"/>
      <sheetName val="wall"/>
      <sheetName val="Front"/>
      <sheetName val="흄관기초"/>
      <sheetName val="내역서"/>
      <sheetName val="실행내역서 "/>
      <sheetName val="낙찰표"/>
      <sheetName val="일위대가표"/>
      <sheetName val="현금흐름표"/>
      <sheetName val="J直材4"/>
      <sheetName val="공제구간조서"/>
      <sheetName val="신우"/>
      <sheetName val="DAN"/>
      <sheetName val="NAIL단가산출"/>
      <sheetName val="입찰안"/>
      <sheetName val="전신환매도율"/>
      <sheetName val="노임단가"/>
      <sheetName val="대로근거"/>
      <sheetName val="하조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  <pageSetUpPr fitToPage="1"/>
  </sheetPr>
  <dimension ref="A1:O36"/>
  <sheetViews>
    <sheetView tabSelected="1" view="pageBreakPreview" topLeftCell="B1" zoomScale="85" zoomScaleNormal="100" zoomScaleSheetLayoutView="85" workbookViewId="0">
      <selection sqref="A1:G1"/>
    </sheetView>
  </sheetViews>
  <sheetFormatPr defaultColWidth="9.125" defaultRowHeight="16.5" x14ac:dyDescent="0.3"/>
  <cols>
    <col min="1" max="1" width="9.125" hidden="1"/>
    <col min="2" max="3" width="4.625" customWidth="1"/>
    <col min="4" max="4" width="35.625" customWidth="1"/>
    <col min="5" max="5" width="25.625" customWidth="1"/>
    <col min="6" max="6" width="57.625" customWidth="1"/>
    <col min="7" max="7" width="30.625" customWidth="1"/>
    <col min="9" max="9" width="13.625" bestFit="1" customWidth="1"/>
    <col min="11" max="11" width="16.625" bestFit="1" customWidth="1"/>
    <col min="13" max="13" width="16.625" bestFit="1" customWidth="1"/>
  </cols>
  <sheetData>
    <row r="1" spans="1:13" ht="24" customHeight="1" x14ac:dyDescent="0.3">
      <c r="A1" s="102" t="s">
        <v>42</v>
      </c>
      <c r="B1" s="102"/>
      <c r="C1" s="102"/>
      <c r="D1" s="102"/>
      <c r="E1" s="102"/>
      <c r="F1" s="102"/>
      <c r="G1" s="102"/>
    </row>
    <row r="2" spans="1:13" ht="21.95" customHeight="1" x14ac:dyDescent="0.3">
      <c r="A2" s="103" t="str">
        <f>공종별집계표!A2</f>
        <v>공사명: [대학혁신지원사업]백은관, 취업지원센터 단열창호 교체공사</v>
      </c>
      <c r="B2" s="103"/>
      <c r="C2" s="103"/>
      <c r="D2" s="103"/>
      <c r="E2" s="103"/>
      <c r="F2" s="110" t="str">
        <f>"금액: 일금  "&amp;NUMBERSTRING(E34,1)&amp;"원정("&amp;TEXT(E34,"#,###원")&amp;")"</f>
        <v>금액: 일금  영원정(원)</v>
      </c>
      <c r="G2" s="110"/>
      <c r="I2" s="64"/>
      <c r="K2" s="66"/>
      <c r="M2" s="64"/>
    </row>
    <row r="3" spans="1:13" ht="21.95" customHeight="1" x14ac:dyDescent="0.3">
      <c r="A3" s="9" t="s">
        <v>300</v>
      </c>
      <c r="B3" s="104" t="s">
        <v>96</v>
      </c>
      <c r="C3" s="105"/>
      <c r="D3" s="106"/>
      <c r="E3" s="9" t="s">
        <v>216</v>
      </c>
      <c r="F3" s="9" t="s">
        <v>35</v>
      </c>
      <c r="G3" s="9" t="s">
        <v>257</v>
      </c>
    </row>
    <row r="4" spans="1:13" ht="21.95" customHeight="1" x14ac:dyDescent="0.3">
      <c r="A4" s="3" t="s">
        <v>341</v>
      </c>
      <c r="B4" s="107" t="s">
        <v>240</v>
      </c>
      <c r="C4" s="107" t="s">
        <v>78</v>
      </c>
      <c r="D4" s="10" t="s">
        <v>66</v>
      </c>
      <c r="E4" s="4">
        <f>공종별집계표!F27</f>
        <v>0</v>
      </c>
      <c r="F4" s="3" t="s">
        <v>300</v>
      </c>
      <c r="G4" s="3" t="s">
        <v>300</v>
      </c>
      <c r="I4" s="38"/>
      <c r="M4" s="65"/>
    </row>
    <row r="5" spans="1:13" ht="21.95" customHeight="1" x14ac:dyDescent="0.3">
      <c r="A5" s="3" t="s">
        <v>15</v>
      </c>
      <c r="B5" s="108"/>
      <c r="C5" s="108"/>
      <c r="D5" s="10" t="s">
        <v>314</v>
      </c>
      <c r="E5" s="4">
        <v>0</v>
      </c>
      <c r="F5" s="3" t="s">
        <v>300</v>
      </c>
      <c r="G5" s="3" t="s">
        <v>300</v>
      </c>
      <c r="I5" s="38"/>
    </row>
    <row r="6" spans="1:13" ht="21.95" customHeight="1" x14ac:dyDescent="0.3">
      <c r="A6" s="3" t="s">
        <v>171</v>
      </c>
      <c r="B6" s="108"/>
      <c r="C6" s="109"/>
      <c r="D6" s="10" t="s">
        <v>335</v>
      </c>
      <c r="E6" s="4">
        <f>E4+E5</f>
        <v>0</v>
      </c>
      <c r="F6" s="3" t="s">
        <v>300</v>
      </c>
      <c r="G6" s="3" t="s">
        <v>300</v>
      </c>
      <c r="I6" s="38"/>
    </row>
    <row r="7" spans="1:13" ht="21.95" customHeight="1" x14ac:dyDescent="0.3">
      <c r="A7" s="3" t="s">
        <v>122</v>
      </c>
      <c r="B7" s="108"/>
      <c r="C7" s="107" t="s">
        <v>39</v>
      </c>
      <c r="D7" s="10" t="s">
        <v>279</v>
      </c>
      <c r="E7" s="4">
        <f>공종별집계표!H27</f>
        <v>0</v>
      </c>
      <c r="F7" s="3" t="s">
        <v>300</v>
      </c>
      <c r="G7" s="3"/>
      <c r="I7" s="38"/>
    </row>
    <row r="8" spans="1:13" ht="21.95" customHeight="1" x14ac:dyDescent="0.3">
      <c r="A8" s="3" t="s">
        <v>4</v>
      </c>
      <c r="B8" s="108"/>
      <c r="C8" s="108"/>
      <c r="D8" s="10" t="s">
        <v>258</v>
      </c>
      <c r="E8" s="4"/>
      <c r="F8" s="3"/>
      <c r="G8" s="3"/>
      <c r="I8" s="38"/>
    </row>
    <row r="9" spans="1:13" ht="21.95" customHeight="1" x14ac:dyDescent="0.3">
      <c r="A9" s="3" t="s">
        <v>67</v>
      </c>
      <c r="B9" s="108"/>
      <c r="C9" s="109"/>
      <c r="D9" s="10" t="s">
        <v>335</v>
      </c>
      <c r="E9" s="4">
        <f>E7+E8</f>
        <v>0</v>
      </c>
      <c r="F9" s="3" t="s">
        <v>300</v>
      </c>
      <c r="G9" s="3"/>
      <c r="I9" s="38"/>
    </row>
    <row r="10" spans="1:13" ht="21.95" customHeight="1" x14ac:dyDescent="0.3">
      <c r="A10" s="3" t="s">
        <v>46</v>
      </c>
      <c r="B10" s="108"/>
      <c r="C10" s="107" t="s">
        <v>280</v>
      </c>
      <c r="D10" s="10" t="s">
        <v>272</v>
      </c>
      <c r="E10" s="4">
        <f>공종별집계표!J27</f>
        <v>0</v>
      </c>
      <c r="F10" s="3" t="s">
        <v>300</v>
      </c>
      <c r="G10" s="3"/>
      <c r="I10" s="38"/>
    </row>
    <row r="11" spans="1:13" ht="21.95" customHeight="1" x14ac:dyDescent="0.3">
      <c r="A11" s="3" t="s">
        <v>5</v>
      </c>
      <c r="B11" s="108"/>
      <c r="C11" s="108"/>
      <c r="D11" s="10" t="s">
        <v>323</v>
      </c>
      <c r="E11" s="4">
        <f>E9*3.56%</f>
        <v>0</v>
      </c>
      <c r="F11" s="3" t="s">
        <v>84</v>
      </c>
      <c r="G11" s="3"/>
      <c r="I11" s="38"/>
    </row>
    <row r="12" spans="1:13" ht="21.95" customHeight="1" x14ac:dyDescent="0.3">
      <c r="A12" s="3" t="s">
        <v>287</v>
      </c>
      <c r="B12" s="108"/>
      <c r="C12" s="108"/>
      <c r="D12" s="10" t="s">
        <v>295</v>
      </c>
      <c r="E12" s="4">
        <f>E9*1.01%</f>
        <v>0</v>
      </c>
      <c r="F12" s="3" t="s">
        <v>386</v>
      </c>
      <c r="G12" s="3"/>
      <c r="I12" s="38"/>
    </row>
    <row r="13" spans="1:13" ht="21.95" customHeight="1" x14ac:dyDescent="0.3">
      <c r="A13" s="3" t="s">
        <v>27</v>
      </c>
      <c r="B13" s="108"/>
      <c r="C13" s="108"/>
      <c r="D13" s="115" t="s">
        <v>236</v>
      </c>
      <c r="E13" s="116">
        <v>9405968</v>
      </c>
      <c r="F13" s="117" t="s">
        <v>388</v>
      </c>
      <c r="G13" s="117" t="s">
        <v>372</v>
      </c>
      <c r="I13" s="38"/>
    </row>
    <row r="14" spans="1:13" ht="21.95" customHeight="1" x14ac:dyDescent="0.3">
      <c r="A14" s="3" t="s">
        <v>214</v>
      </c>
      <c r="B14" s="108"/>
      <c r="C14" s="108"/>
      <c r="D14" s="115" t="s">
        <v>221</v>
      </c>
      <c r="E14" s="116">
        <v>11939875</v>
      </c>
      <c r="F14" s="117" t="s">
        <v>387</v>
      </c>
      <c r="G14" s="117" t="s">
        <v>370</v>
      </c>
      <c r="I14" s="38"/>
    </row>
    <row r="15" spans="1:13" ht="21.95" customHeight="1" x14ac:dyDescent="0.3">
      <c r="A15" s="3" t="s">
        <v>103</v>
      </c>
      <c r="B15" s="108"/>
      <c r="C15" s="108"/>
      <c r="D15" s="115" t="s">
        <v>281</v>
      </c>
      <c r="E15" s="116">
        <v>1218073</v>
      </c>
      <c r="F15" s="117" t="s">
        <v>389</v>
      </c>
      <c r="G15" s="117" t="s">
        <v>370</v>
      </c>
      <c r="I15" s="38"/>
    </row>
    <row r="16" spans="1:13" ht="21.95" customHeight="1" x14ac:dyDescent="0.3">
      <c r="A16" s="3" t="s">
        <v>153</v>
      </c>
      <c r="B16" s="108"/>
      <c r="C16" s="108"/>
      <c r="D16" s="10" t="s">
        <v>349</v>
      </c>
      <c r="E16" s="4"/>
      <c r="F16" s="3"/>
      <c r="G16" s="3" t="s">
        <v>371</v>
      </c>
      <c r="I16" s="38"/>
    </row>
    <row r="17" spans="1:9" ht="21.95" customHeight="1" x14ac:dyDescent="0.3">
      <c r="A17" s="3" t="s">
        <v>356</v>
      </c>
      <c r="B17" s="108"/>
      <c r="C17" s="108"/>
      <c r="D17" s="115" t="s">
        <v>266</v>
      </c>
      <c r="E17" s="116">
        <v>14175121</v>
      </c>
      <c r="F17" s="117" t="s">
        <v>555</v>
      </c>
      <c r="G17" s="117"/>
      <c r="I17" s="38"/>
    </row>
    <row r="18" spans="1:9" ht="21.95" hidden="1" customHeight="1" x14ac:dyDescent="0.3">
      <c r="A18" s="3" t="s">
        <v>318</v>
      </c>
      <c r="B18" s="108"/>
      <c r="C18" s="108"/>
      <c r="D18" s="10" t="s">
        <v>260</v>
      </c>
      <c r="E18" s="4"/>
      <c r="F18" s="3"/>
      <c r="G18" s="3"/>
      <c r="I18" s="38"/>
    </row>
    <row r="19" spans="1:9" ht="21.95" hidden="1" customHeight="1" x14ac:dyDescent="0.3">
      <c r="A19" s="3" t="s">
        <v>158</v>
      </c>
      <c r="B19" s="108"/>
      <c r="C19" s="108"/>
      <c r="D19" s="10" t="s">
        <v>347</v>
      </c>
      <c r="E19" s="4"/>
      <c r="F19" s="3"/>
      <c r="G19" s="3"/>
      <c r="I19" s="38"/>
    </row>
    <row r="20" spans="1:9" ht="21.95" customHeight="1" x14ac:dyDescent="0.3">
      <c r="A20" s="3" t="s">
        <v>36</v>
      </c>
      <c r="B20" s="108"/>
      <c r="C20" s="108"/>
      <c r="D20" s="10" t="s">
        <v>87</v>
      </c>
      <c r="E20" s="4">
        <f>(E6+E9+E10)*0.5%</f>
        <v>0</v>
      </c>
      <c r="F20" s="3" t="s">
        <v>373</v>
      </c>
      <c r="G20" s="3"/>
      <c r="I20" s="38"/>
    </row>
    <row r="21" spans="1:9" ht="21.95" customHeight="1" x14ac:dyDescent="0.3">
      <c r="A21" s="3" t="s">
        <v>250</v>
      </c>
      <c r="B21" s="108"/>
      <c r="C21" s="108"/>
      <c r="D21" s="10" t="s">
        <v>130</v>
      </c>
      <c r="E21" s="4">
        <f>(E6+E9)*5.2%</f>
        <v>0</v>
      </c>
      <c r="F21" s="3" t="s">
        <v>390</v>
      </c>
      <c r="G21" s="3"/>
      <c r="I21" s="38"/>
    </row>
    <row r="22" spans="1:9" ht="21.95" hidden="1" customHeight="1" x14ac:dyDescent="0.3">
      <c r="A22" s="3" t="s">
        <v>278</v>
      </c>
      <c r="B22" s="108"/>
      <c r="C22" s="108"/>
      <c r="D22" s="10" t="s">
        <v>111</v>
      </c>
      <c r="E22" s="4"/>
      <c r="F22" s="3"/>
      <c r="G22" s="3"/>
      <c r="I22" s="38"/>
    </row>
    <row r="23" spans="1:9" ht="21.95" hidden="1" customHeight="1" x14ac:dyDescent="0.3">
      <c r="A23" s="3" t="s">
        <v>121</v>
      </c>
      <c r="B23" s="108"/>
      <c r="C23" s="108"/>
      <c r="D23" s="10" t="s">
        <v>208</v>
      </c>
      <c r="E23" s="4"/>
      <c r="F23" s="3"/>
      <c r="G23" s="3"/>
      <c r="I23" s="38"/>
    </row>
    <row r="24" spans="1:9" ht="21.95" customHeight="1" x14ac:dyDescent="0.3">
      <c r="A24" s="3" t="s">
        <v>230</v>
      </c>
      <c r="B24" s="109"/>
      <c r="C24" s="109"/>
      <c r="D24" s="10" t="s">
        <v>335</v>
      </c>
      <c r="E24" s="4"/>
      <c r="F24" s="3" t="s">
        <v>300</v>
      </c>
      <c r="G24" s="3"/>
      <c r="I24" s="38"/>
    </row>
    <row r="25" spans="1:9" ht="21.95" customHeight="1" x14ac:dyDescent="0.3">
      <c r="A25" s="3" t="s">
        <v>56</v>
      </c>
      <c r="B25" s="99" t="s">
        <v>359</v>
      </c>
      <c r="C25" s="100"/>
      <c r="D25" s="101"/>
      <c r="E25" s="4"/>
      <c r="F25" s="3" t="s">
        <v>300</v>
      </c>
      <c r="G25" s="3"/>
      <c r="I25" s="38"/>
    </row>
    <row r="26" spans="1:9" ht="21.95" customHeight="1" x14ac:dyDescent="0.3">
      <c r="A26" s="3" t="s">
        <v>339</v>
      </c>
      <c r="B26" s="99" t="s">
        <v>136</v>
      </c>
      <c r="C26" s="100"/>
      <c r="D26" s="101"/>
      <c r="E26" s="4"/>
      <c r="F26" s="3" t="s">
        <v>556</v>
      </c>
      <c r="G26" s="3"/>
      <c r="I26" s="38"/>
    </row>
    <row r="27" spans="1:9" ht="21.95" customHeight="1" x14ac:dyDescent="0.3">
      <c r="A27" s="3" t="s">
        <v>164</v>
      </c>
      <c r="B27" s="99" t="s">
        <v>128</v>
      </c>
      <c r="C27" s="100"/>
      <c r="D27" s="101"/>
      <c r="E27" s="4"/>
      <c r="F27" s="3" t="s">
        <v>557</v>
      </c>
      <c r="G27" s="3" t="s">
        <v>300</v>
      </c>
      <c r="I27" s="38"/>
    </row>
    <row r="28" spans="1:9" ht="21.95" customHeight="1" x14ac:dyDescent="0.3">
      <c r="A28" s="3" t="s">
        <v>309</v>
      </c>
      <c r="B28" s="99" t="s">
        <v>126</v>
      </c>
      <c r="C28" s="100"/>
      <c r="D28" s="101"/>
      <c r="E28" s="4"/>
      <c r="F28" s="3" t="s">
        <v>300</v>
      </c>
      <c r="G28" s="3" t="s">
        <v>300</v>
      </c>
      <c r="I28" s="38"/>
    </row>
    <row r="29" spans="1:9" ht="21.95" customHeight="1" x14ac:dyDescent="0.3">
      <c r="A29" s="3" t="s">
        <v>316</v>
      </c>
      <c r="B29" s="99" t="s">
        <v>38</v>
      </c>
      <c r="C29" s="100"/>
      <c r="D29" s="101"/>
      <c r="E29" s="4"/>
      <c r="F29" s="3" t="s">
        <v>300</v>
      </c>
      <c r="G29" s="3" t="s">
        <v>300</v>
      </c>
      <c r="I29" s="38"/>
    </row>
    <row r="30" spans="1:9" ht="21.95" customHeight="1" x14ac:dyDescent="0.3">
      <c r="A30" s="3" t="s">
        <v>251</v>
      </c>
      <c r="B30" s="99" t="s">
        <v>75</v>
      </c>
      <c r="C30" s="100"/>
      <c r="D30" s="101"/>
      <c r="E30" s="4"/>
      <c r="F30" s="3" t="s">
        <v>79</v>
      </c>
      <c r="G30" s="3" t="s">
        <v>300</v>
      </c>
      <c r="I30" s="38"/>
    </row>
    <row r="31" spans="1:9" ht="21.95" customHeight="1" x14ac:dyDescent="0.3">
      <c r="A31" s="3" t="s">
        <v>167</v>
      </c>
      <c r="B31" s="99" t="s">
        <v>215</v>
      </c>
      <c r="C31" s="100"/>
      <c r="D31" s="101"/>
      <c r="E31" s="4"/>
      <c r="F31" s="3" t="s">
        <v>300</v>
      </c>
      <c r="G31" s="3" t="s">
        <v>300</v>
      </c>
      <c r="I31" s="38"/>
    </row>
    <row r="32" spans="1:9" ht="21.95" hidden="1" customHeight="1" x14ac:dyDescent="0.3">
      <c r="A32" s="3" t="s">
        <v>233</v>
      </c>
      <c r="B32" s="99" t="s">
        <v>366</v>
      </c>
      <c r="C32" s="100"/>
      <c r="D32" s="101"/>
      <c r="E32" s="4"/>
      <c r="F32" s="3" t="s">
        <v>110</v>
      </c>
      <c r="G32" s="3" t="s">
        <v>300</v>
      </c>
      <c r="I32" s="38"/>
    </row>
    <row r="33" spans="1:11" ht="21.95" hidden="1" customHeight="1" x14ac:dyDescent="0.3">
      <c r="A33" s="3" t="s">
        <v>198</v>
      </c>
      <c r="B33" s="99" t="s">
        <v>206</v>
      </c>
      <c r="C33" s="100"/>
      <c r="D33" s="101"/>
      <c r="E33" s="4"/>
      <c r="F33" s="3" t="s">
        <v>110</v>
      </c>
      <c r="G33" s="3" t="s">
        <v>300</v>
      </c>
      <c r="I33" s="38"/>
    </row>
    <row r="34" spans="1:11" ht="21.95" customHeight="1" x14ac:dyDescent="0.3">
      <c r="A34" s="3" t="s">
        <v>367</v>
      </c>
      <c r="B34" s="99" t="s">
        <v>210</v>
      </c>
      <c r="C34" s="100"/>
      <c r="D34" s="101"/>
      <c r="E34" s="4"/>
      <c r="F34" s="3" t="s">
        <v>300</v>
      </c>
      <c r="G34" s="3" t="s">
        <v>300</v>
      </c>
      <c r="I34" s="38"/>
      <c r="K34" s="65"/>
    </row>
    <row r="36" spans="1:11" x14ac:dyDescent="0.3">
      <c r="E36" s="38"/>
    </row>
  </sheetData>
  <mergeCells count="18">
    <mergeCell ref="A1:G1"/>
    <mergeCell ref="A2:E2"/>
    <mergeCell ref="B3:D3"/>
    <mergeCell ref="B4:B24"/>
    <mergeCell ref="C4:C6"/>
    <mergeCell ref="C7:C9"/>
    <mergeCell ref="C10:C24"/>
    <mergeCell ref="F2:G2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</mergeCells>
  <phoneticPr fontId="6" type="noConversion"/>
  <pageMargins left="0.59055118110236227" right="0" top="0.78740157480314965" bottom="0.39370078740157483" header="0" footer="0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  <pageSetUpPr fitToPage="1"/>
  </sheetPr>
  <dimension ref="A1:Q27"/>
  <sheetViews>
    <sheetView view="pageBreakPreview" zoomScale="85" zoomScaleNormal="100" zoomScaleSheetLayoutView="85" workbookViewId="0">
      <selection activeCell="A2" sqref="A2:M2"/>
    </sheetView>
  </sheetViews>
  <sheetFormatPr defaultColWidth="9.125"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17" width="9.125" hidden="1"/>
  </cols>
  <sheetData>
    <row r="1" spans="1:16" ht="28.5" customHeight="1" x14ac:dyDescent="0.3">
      <c r="A1" s="102" t="s">
        <v>129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</row>
    <row r="2" spans="1:16" ht="28.5" customHeight="1" x14ac:dyDescent="0.3">
      <c r="A2" s="103" t="str">
        <f>'공종별내역서(백은관)'!A2</f>
        <v>공사명: [대학혁신지원사업]백은관, 취업지원센터 단열창호 교체공사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</row>
    <row r="3" spans="1:16" ht="28.5" customHeight="1" x14ac:dyDescent="0.3">
      <c r="A3" s="111" t="s">
        <v>234</v>
      </c>
      <c r="B3" s="111" t="s">
        <v>132</v>
      </c>
      <c r="C3" s="111" t="s">
        <v>22</v>
      </c>
      <c r="D3" s="111" t="s">
        <v>297</v>
      </c>
      <c r="E3" s="104" t="s">
        <v>30</v>
      </c>
      <c r="F3" s="106"/>
      <c r="G3" s="104" t="s">
        <v>170</v>
      </c>
      <c r="H3" s="106"/>
      <c r="I3" s="104" t="s">
        <v>100</v>
      </c>
      <c r="J3" s="106"/>
      <c r="K3" s="104" t="s">
        <v>220</v>
      </c>
      <c r="L3" s="106"/>
      <c r="M3" s="111" t="s">
        <v>282</v>
      </c>
    </row>
    <row r="4" spans="1:16" ht="28.5" customHeight="1" x14ac:dyDescent="0.3">
      <c r="A4" s="112"/>
      <c r="B4" s="112"/>
      <c r="C4" s="112"/>
      <c r="D4" s="112"/>
      <c r="E4" s="9" t="s">
        <v>353</v>
      </c>
      <c r="F4" s="9" t="s">
        <v>2</v>
      </c>
      <c r="G4" s="9" t="s">
        <v>353</v>
      </c>
      <c r="H4" s="9" t="s">
        <v>2</v>
      </c>
      <c r="I4" s="9" t="s">
        <v>353</v>
      </c>
      <c r="J4" s="9" t="s">
        <v>2</v>
      </c>
      <c r="K4" s="9" t="s">
        <v>353</v>
      </c>
      <c r="L4" s="9" t="s">
        <v>2</v>
      </c>
      <c r="M4" s="112"/>
    </row>
    <row r="5" spans="1:16" ht="28.5" customHeight="1" x14ac:dyDescent="0.3">
      <c r="A5" s="36" t="str">
        <f>'공종별내역서(백은관)'!A5</f>
        <v>1. 백은관 창호교체</v>
      </c>
      <c r="B5" s="69"/>
      <c r="C5" s="69"/>
      <c r="D5" s="69"/>
      <c r="E5" s="9"/>
      <c r="F5" s="9"/>
      <c r="G5" s="9"/>
      <c r="H5" s="9"/>
      <c r="I5" s="9"/>
      <c r="J5" s="9"/>
      <c r="K5" s="9"/>
      <c r="L5" s="9"/>
      <c r="M5" s="69"/>
    </row>
    <row r="6" spans="1:16" ht="28.5" customHeight="1" x14ac:dyDescent="0.3">
      <c r="A6" s="10" t="str">
        <f>'공종별내역서(백은관)'!A6</f>
        <v>가. 철거공사</v>
      </c>
      <c r="B6" s="3"/>
      <c r="C6" s="10" t="s">
        <v>391</v>
      </c>
      <c r="D6" s="10">
        <v>1</v>
      </c>
      <c r="E6" s="4"/>
      <c r="F6" s="4">
        <f>'공종별내역서(백은관)'!F29</f>
        <v>0</v>
      </c>
      <c r="G6" s="4">
        <f>'공종별내역서(백은관)'!G29</f>
        <v>0</v>
      </c>
      <c r="H6" s="4">
        <f>'공종별내역서(백은관)'!H29</f>
        <v>0</v>
      </c>
      <c r="I6" s="4">
        <f>'공종별내역서(백은관)'!I29</f>
        <v>0</v>
      </c>
      <c r="J6" s="4">
        <f>'공종별내역서(백은관)'!J29</f>
        <v>0</v>
      </c>
      <c r="K6" s="4">
        <f>'공종별내역서(백은관)'!K29</f>
        <v>0</v>
      </c>
      <c r="L6" s="4">
        <f>'공종별내역서(백은관)'!L29</f>
        <v>0</v>
      </c>
      <c r="M6" s="3"/>
      <c r="N6" s="8" t="s">
        <v>145</v>
      </c>
      <c r="O6" s="7">
        <v>100000</v>
      </c>
      <c r="P6" s="5"/>
    </row>
    <row r="7" spans="1:16" ht="28.5" customHeight="1" x14ac:dyDescent="0.3">
      <c r="A7" s="10" t="str">
        <f>'공종별내역서(백은관)'!A30</f>
        <v>나. 창호공사</v>
      </c>
      <c r="B7" s="3"/>
      <c r="C7" s="10" t="s">
        <v>391</v>
      </c>
      <c r="D7" s="10">
        <v>1</v>
      </c>
      <c r="E7" s="4"/>
      <c r="F7" s="4">
        <f>'공종별내역서(백은관)'!F53</f>
        <v>0</v>
      </c>
      <c r="G7" s="4">
        <f>'공종별내역서(백은관)'!G53</f>
        <v>0</v>
      </c>
      <c r="H7" s="4">
        <f>'공종별내역서(백은관)'!H53</f>
        <v>0</v>
      </c>
      <c r="I7" s="4">
        <f>'공종별내역서(백은관)'!I53</f>
        <v>0</v>
      </c>
      <c r="J7" s="4">
        <f>'공종별내역서(백은관)'!J53</f>
        <v>0</v>
      </c>
      <c r="K7" s="4">
        <f>'공종별내역서(백은관)'!K53</f>
        <v>0</v>
      </c>
      <c r="L7" s="4">
        <f>'공종별내역서(백은관)'!L53</f>
        <v>0</v>
      </c>
      <c r="M7" s="3"/>
      <c r="N7" s="8" t="s">
        <v>19</v>
      </c>
      <c r="O7" s="7">
        <v>100001</v>
      </c>
      <c r="P7" s="5"/>
    </row>
    <row r="8" spans="1:16" ht="28.5" customHeight="1" x14ac:dyDescent="0.3">
      <c r="A8" s="10" t="str">
        <f>'공종별내역서(백은관)'!A54</f>
        <v>다. 유리공사</v>
      </c>
      <c r="B8" s="3"/>
      <c r="C8" s="10" t="s">
        <v>391</v>
      </c>
      <c r="D8" s="10">
        <v>1</v>
      </c>
      <c r="E8" s="4"/>
      <c r="F8" s="4">
        <f>'공종별내역서(백은관)'!F77</f>
        <v>0</v>
      </c>
      <c r="G8" s="4">
        <f>'공종별내역서(백은관)'!G77</f>
        <v>0</v>
      </c>
      <c r="H8" s="4">
        <f>'공종별내역서(백은관)'!H77</f>
        <v>0</v>
      </c>
      <c r="I8" s="4">
        <f>'공종별내역서(백은관)'!I77</f>
        <v>0</v>
      </c>
      <c r="J8" s="4">
        <f>'공종별내역서(백은관)'!J77</f>
        <v>0</v>
      </c>
      <c r="K8" s="4">
        <f>'공종별내역서(백은관)'!K77</f>
        <v>0</v>
      </c>
      <c r="L8" s="4">
        <f>'공종별내역서(백은관)'!L77</f>
        <v>0</v>
      </c>
      <c r="M8" s="3"/>
      <c r="N8" s="8" t="s">
        <v>149</v>
      </c>
      <c r="O8" s="7">
        <v>100002</v>
      </c>
      <c r="P8" s="5"/>
    </row>
    <row r="9" spans="1:16" ht="28.5" customHeight="1" x14ac:dyDescent="0.3">
      <c r="A9" s="10" t="str">
        <f>'공종별내역서(백은관)'!A78</f>
        <v>라. 기타공사</v>
      </c>
      <c r="B9" s="3"/>
      <c r="C9" s="10" t="s">
        <v>391</v>
      </c>
      <c r="D9" s="10">
        <v>1</v>
      </c>
      <c r="E9" s="4"/>
      <c r="F9" s="4">
        <f>'공종별내역서(백은관)'!F84</f>
        <v>0</v>
      </c>
      <c r="G9" s="4">
        <f>'공종별내역서(백은관)'!G84</f>
        <v>0</v>
      </c>
      <c r="H9" s="4">
        <f>'공종별내역서(백은관)'!H84</f>
        <v>0</v>
      </c>
      <c r="I9" s="4">
        <f>'공종별내역서(백은관)'!I84</f>
        <v>0</v>
      </c>
      <c r="J9" s="4">
        <f>'공종별내역서(백은관)'!J84</f>
        <v>0</v>
      </c>
      <c r="K9" s="4">
        <f>'공종별내역서(백은관)'!K84</f>
        <v>0</v>
      </c>
      <c r="L9" s="4">
        <f>'공종별내역서(백은관)'!L84</f>
        <v>0</v>
      </c>
      <c r="M9" s="3"/>
      <c r="N9" s="8" t="s">
        <v>329</v>
      </c>
      <c r="O9" s="7">
        <v>100003</v>
      </c>
      <c r="P9" s="5"/>
    </row>
    <row r="10" spans="1:16" ht="28.5" customHeight="1" x14ac:dyDescent="0.3">
      <c r="A10" s="10" t="str">
        <f>'공종별내역서(백은관)'!A85</f>
        <v>마. 폐기물 처리, 운반</v>
      </c>
      <c r="B10" s="3"/>
      <c r="C10" s="10" t="s">
        <v>391</v>
      </c>
      <c r="D10" s="10">
        <v>1</v>
      </c>
      <c r="E10" s="4"/>
      <c r="F10" s="4">
        <f>'공종별내역서(백은관)'!F85</f>
        <v>0</v>
      </c>
      <c r="G10" s="4">
        <f>'공종별내역서(백은관)'!G85</f>
        <v>0</v>
      </c>
      <c r="H10" s="4">
        <f>'공종별내역서(백은관)'!H85</f>
        <v>0</v>
      </c>
      <c r="I10" s="4"/>
      <c r="J10" s="4">
        <f>'공종별내역서(백은관)'!J85</f>
        <v>0</v>
      </c>
      <c r="K10" s="4"/>
      <c r="L10" s="4">
        <f>'공종별내역서(백은관)'!L85</f>
        <v>0</v>
      </c>
      <c r="M10" s="3"/>
      <c r="N10" s="8" t="s">
        <v>254</v>
      </c>
      <c r="O10" s="7">
        <v>100004</v>
      </c>
      <c r="P10" s="5"/>
    </row>
    <row r="11" spans="1:16" ht="28.5" customHeight="1" x14ac:dyDescent="0.3">
      <c r="A11" s="94" t="str">
        <f>'공종별내역서(취업지원센터)'!A5</f>
        <v>2. 취업지원센터 창호교체</v>
      </c>
      <c r="B11" s="3"/>
      <c r="C11" s="3"/>
      <c r="D11" s="1"/>
      <c r="E11" s="4"/>
      <c r="F11" s="4"/>
      <c r="G11" s="4"/>
      <c r="H11" s="4"/>
      <c r="I11" s="4"/>
      <c r="J11" s="4"/>
      <c r="K11" s="4"/>
      <c r="L11" s="4"/>
      <c r="M11" s="3"/>
      <c r="N11" s="8" t="s">
        <v>319</v>
      </c>
      <c r="O11" s="7">
        <v>100005</v>
      </c>
      <c r="P11" s="5"/>
    </row>
    <row r="12" spans="1:16" ht="28.5" customHeight="1" x14ac:dyDescent="0.3">
      <c r="A12" s="10" t="str">
        <f>'공종별내역서(취업지원센터)'!A6</f>
        <v>가. 철거공사</v>
      </c>
      <c r="B12" s="3"/>
      <c r="C12" s="10" t="s">
        <v>391</v>
      </c>
      <c r="D12" s="10">
        <v>1</v>
      </c>
      <c r="E12" s="4"/>
      <c r="F12" s="4">
        <f>'공종별내역서(취업지원센터)'!F23</f>
        <v>0</v>
      </c>
      <c r="G12" s="4">
        <f>'공종별내역서(취업지원센터)'!G23</f>
        <v>0</v>
      </c>
      <c r="H12" s="4">
        <f>'공종별내역서(취업지원센터)'!H23</f>
        <v>0</v>
      </c>
      <c r="I12" s="4">
        <f>'공종별내역서(취업지원센터)'!I23</f>
        <v>0</v>
      </c>
      <c r="J12" s="4">
        <f>'공종별내역서(취업지원센터)'!J23</f>
        <v>0</v>
      </c>
      <c r="K12" s="4">
        <f>'공종별내역서(취업지원센터)'!K23</f>
        <v>0</v>
      </c>
      <c r="L12" s="4">
        <f>'공종별내역서(취업지원센터)'!L23</f>
        <v>0</v>
      </c>
      <c r="M12" s="3"/>
      <c r="N12" s="8" t="s">
        <v>205</v>
      </c>
      <c r="O12" s="7">
        <v>100006</v>
      </c>
      <c r="P12" s="5"/>
    </row>
    <row r="13" spans="1:16" ht="28.5" customHeight="1" x14ac:dyDescent="0.3">
      <c r="A13" s="10" t="str">
        <f>'공종별내역서(취업지원센터)'!A24</f>
        <v>나. 창호공사</v>
      </c>
      <c r="B13" s="3"/>
      <c r="C13" s="10" t="s">
        <v>391</v>
      </c>
      <c r="D13" s="10">
        <v>1</v>
      </c>
      <c r="E13" s="4"/>
      <c r="F13" s="4">
        <f>'공종별내역서(취업지원센터)'!F41</f>
        <v>0</v>
      </c>
      <c r="G13" s="4">
        <f>'공종별내역서(취업지원센터)'!G41</f>
        <v>0</v>
      </c>
      <c r="H13" s="4">
        <f>'공종별내역서(취업지원센터)'!H41</f>
        <v>0</v>
      </c>
      <c r="I13" s="4">
        <f>'공종별내역서(취업지원센터)'!I41</f>
        <v>0</v>
      </c>
      <c r="J13" s="4">
        <f>'공종별내역서(취업지원센터)'!J41</f>
        <v>0</v>
      </c>
      <c r="K13" s="4">
        <f>'공종별내역서(취업지원센터)'!K41</f>
        <v>0</v>
      </c>
      <c r="L13" s="4">
        <f>'공종별내역서(취업지원센터)'!L41</f>
        <v>0</v>
      </c>
      <c r="M13" s="3"/>
      <c r="N13" s="8" t="s">
        <v>93</v>
      </c>
      <c r="O13" s="7">
        <v>100007</v>
      </c>
      <c r="P13" s="5"/>
    </row>
    <row r="14" spans="1:16" ht="28.5" customHeight="1" x14ac:dyDescent="0.3">
      <c r="A14" s="10" t="str">
        <f>'공종별내역서(취업지원센터)'!A42</f>
        <v>다. 유리공사</v>
      </c>
      <c r="B14" s="3"/>
      <c r="C14" s="10" t="s">
        <v>391</v>
      </c>
      <c r="D14" s="10">
        <v>1</v>
      </c>
      <c r="E14" s="4"/>
      <c r="F14" s="4">
        <f>'공종별내역서(취업지원센터)'!F59</f>
        <v>0</v>
      </c>
      <c r="G14" s="4">
        <f>'공종별내역서(취업지원센터)'!G59</f>
        <v>0</v>
      </c>
      <c r="H14" s="4">
        <f>'공종별내역서(취업지원센터)'!H59</f>
        <v>0</v>
      </c>
      <c r="I14" s="4">
        <f>'공종별내역서(취업지원센터)'!I59</f>
        <v>0</v>
      </c>
      <c r="J14" s="4">
        <f>'공종별내역서(취업지원센터)'!J59</f>
        <v>0</v>
      </c>
      <c r="K14" s="4">
        <f>'공종별내역서(취업지원센터)'!K59</f>
        <v>0</v>
      </c>
      <c r="L14" s="4">
        <f>'공종별내역서(취업지원센터)'!L59</f>
        <v>0</v>
      </c>
      <c r="M14" s="3"/>
      <c r="N14" s="8" t="s">
        <v>345</v>
      </c>
      <c r="O14" s="7">
        <v>100009</v>
      </c>
      <c r="P14" s="5"/>
    </row>
    <row r="15" spans="1:16" ht="28.5" customHeight="1" x14ac:dyDescent="0.3">
      <c r="A15" s="10" t="str">
        <f>'공종별내역서(취업지원센터)'!A60</f>
        <v>라. 기타공사</v>
      </c>
      <c r="B15" s="3"/>
      <c r="C15" s="10" t="s">
        <v>391</v>
      </c>
      <c r="D15" s="10">
        <v>1</v>
      </c>
      <c r="E15" s="4"/>
      <c r="F15" s="4">
        <f>'공종별내역서(취업지원센터)'!F64</f>
        <v>0</v>
      </c>
      <c r="G15" s="4">
        <f>'공종별내역서(취업지원센터)'!G64</f>
        <v>0</v>
      </c>
      <c r="H15" s="4">
        <f>'공종별내역서(취업지원센터)'!H64</f>
        <v>0</v>
      </c>
      <c r="I15" s="4">
        <f>'공종별내역서(취업지원센터)'!I64</f>
        <v>0</v>
      </c>
      <c r="J15" s="4">
        <f>'공종별내역서(취업지원센터)'!J64</f>
        <v>0</v>
      </c>
      <c r="K15" s="4">
        <f>'공종별내역서(취업지원센터)'!K64</f>
        <v>0</v>
      </c>
      <c r="L15" s="4">
        <f>'공종별내역서(취업지원센터)'!L64</f>
        <v>0</v>
      </c>
      <c r="M15" s="3"/>
      <c r="N15" s="8" t="s">
        <v>52</v>
      </c>
      <c r="O15" s="7">
        <v>100010</v>
      </c>
      <c r="P15" s="5"/>
    </row>
    <row r="16" spans="1:16" ht="28.5" customHeight="1" x14ac:dyDescent="0.3">
      <c r="A16" s="10" t="str">
        <f>'공종별내역서(취업지원센터)'!A65</f>
        <v>마. 폐기물 처리, 운반</v>
      </c>
      <c r="B16" s="3"/>
      <c r="C16" s="10" t="s">
        <v>391</v>
      </c>
      <c r="D16" s="10">
        <v>1</v>
      </c>
      <c r="E16" s="3"/>
      <c r="F16" s="95">
        <f>'공종별내역서(취업지원센터)'!F65</f>
        <v>0</v>
      </c>
      <c r="G16" s="95">
        <f>'공종별내역서(취업지원센터)'!G65</f>
        <v>0</v>
      </c>
      <c r="H16" s="95">
        <f>'공종별내역서(취업지원센터)'!H65</f>
        <v>0</v>
      </c>
      <c r="I16" s="95"/>
      <c r="J16" s="95">
        <f>'공종별내역서(취업지원센터)'!J65</f>
        <v>0</v>
      </c>
      <c r="K16" s="95"/>
      <c r="L16" s="95">
        <f>'공종별내역서(취업지원센터)'!L65</f>
        <v>0</v>
      </c>
      <c r="M16" s="3"/>
    </row>
    <row r="17" spans="1:13" ht="28.5" customHeight="1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ht="28.5" customHeight="1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ht="28.5" customHeight="1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ht="28.5" customHeight="1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ht="28.5" customHeight="1" x14ac:dyDescent="0.3">
      <c r="A21" s="3" t="s">
        <v>300</v>
      </c>
      <c r="B21" s="3" t="s">
        <v>300</v>
      </c>
      <c r="C21" s="3" t="s">
        <v>300</v>
      </c>
      <c r="D21" s="3" t="s">
        <v>300</v>
      </c>
      <c r="E21" s="3" t="s">
        <v>300</v>
      </c>
      <c r="F21" s="3" t="s">
        <v>300</v>
      </c>
      <c r="G21" s="3" t="s">
        <v>300</v>
      </c>
      <c r="H21" s="3" t="s">
        <v>300</v>
      </c>
      <c r="I21" s="3" t="s">
        <v>300</v>
      </c>
      <c r="J21" s="3" t="s">
        <v>300</v>
      </c>
      <c r="K21" s="3" t="s">
        <v>300</v>
      </c>
      <c r="L21" s="3" t="s">
        <v>300</v>
      </c>
      <c r="M21" s="3" t="s">
        <v>300</v>
      </c>
    </row>
    <row r="22" spans="1:13" ht="28.5" customHeight="1" x14ac:dyDescent="0.3">
      <c r="A22" s="3" t="s">
        <v>300</v>
      </c>
      <c r="B22" s="3" t="s">
        <v>300</v>
      </c>
      <c r="C22" s="3" t="s">
        <v>300</v>
      </c>
      <c r="D22" s="3" t="s">
        <v>300</v>
      </c>
      <c r="E22" s="3" t="s">
        <v>300</v>
      </c>
      <c r="F22" s="3" t="s">
        <v>300</v>
      </c>
      <c r="G22" s="3" t="s">
        <v>300</v>
      </c>
      <c r="H22" s="3" t="s">
        <v>300</v>
      </c>
      <c r="I22" s="3" t="s">
        <v>300</v>
      </c>
      <c r="J22" s="3" t="s">
        <v>300</v>
      </c>
      <c r="K22" s="3" t="s">
        <v>300</v>
      </c>
      <c r="L22" s="3" t="s">
        <v>300</v>
      </c>
      <c r="M22" s="3" t="s">
        <v>300</v>
      </c>
    </row>
    <row r="23" spans="1:13" ht="28.5" customHeight="1" x14ac:dyDescent="0.3">
      <c r="A23" s="3" t="s">
        <v>300</v>
      </c>
      <c r="B23" s="3" t="s">
        <v>300</v>
      </c>
      <c r="C23" s="3" t="s">
        <v>300</v>
      </c>
      <c r="D23" s="3" t="s">
        <v>300</v>
      </c>
      <c r="E23" s="3" t="s">
        <v>300</v>
      </c>
      <c r="F23" s="3" t="s">
        <v>300</v>
      </c>
      <c r="G23" s="3" t="s">
        <v>300</v>
      </c>
      <c r="H23" s="3" t="s">
        <v>300</v>
      </c>
      <c r="I23" s="3" t="s">
        <v>300</v>
      </c>
      <c r="J23" s="3" t="s">
        <v>300</v>
      </c>
      <c r="K23" s="3" t="s">
        <v>300</v>
      </c>
      <c r="L23" s="3" t="s">
        <v>300</v>
      </c>
      <c r="M23" s="3" t="s">
        <v>300</v>
      </c>
    </row>
    <row r="24" spans="1:13" ht="28.5" customHeight="1" x14ac:dyDescent="0.3">
      <c r="A24" s="3" t="s">
        <v>300</v>
      </c>
      <c r="B24" s="3" t="s">
        <v>300</v>
      </c>
      <c r="C24" s="3" t="s">
        <v>300</v>
      </c>
      <c r="D24" s="3" t="s">
        <v>300</v>
      </c>
      <c r="E24" s="3" t="s">
        <v>300</v>
      </c>
      <c r="F24" s="3" t="s">
        <v>300</v>
      </c>
      <c r="G24" s="3" t="s">
        <v>300</v>
      </c>
      <c r="H24" s="3" t="s">
        <v>300</v>
      </c>
      <c r="I24" s="3" t="s">
        <v>300</v>
      </c>
      <c r="J24" s="3" t="s">
        <v>300</v>
      </c>
      <c r="K24" s="3" t="s">
        <v>300</v>
      </c>
      <c r="L24" s="3" t="s">
        <v>300</v>
      </c>
      <c r="M24" s="3" t="s">
        <v>300</v>
      </c>
    </row>
    <row r="25" spans="1:13" ht="28.5" customHeight="1" x14ac:dyDescent="0.3">
      <c r="A25" s="3" t="s">
        <v>300</v>
      </c>
      <c r="B25" s="3" t="s">
        <v>300</v>
      </c>
      <c r="C25" s="3" t="s">
        <v>300</v>
      </c>
      <c r="D25" s="3" t="s">
        <v>300</v>
      </c>
      <c r="E25" s="3" t="s">
        <v>300</v>
      </c>
      <c r="F25" s="3" t="s">
        <v>300</v>
      </c>
      <c r="G25" s="3" t="s">
        <v>300</v>
      </c>
      <c r="H25" s="3" t="s">
        <v>300</v>
      </c>
      <c r="I25" s="3" t="s">
        <v>300</v>
      </c>
      <c r="J25" s="3" t="s">
        <v>300</v>
      </c>
      <c r="K25" s="3" t="s">
        <v>300</v>
      </c>
      <c r="L25" s="3" t="s">
        <v>300</v>
      </c>
      <c r="M25" s="3" t="s">
        <v>300</v>
      </c>
    </row>
    <row r="26" spans="1:13" ht="28.5" customHeight="1" x14ac:dyDescent="0.3">
      <c r="A26" s="3" t="s">
        <v>300</v>
      </c>
      <c r="B26" s="3" t="s">
        <v>300</v>
      </c>
      <c r="C26" s="3" t="s">
        <v>300</v>
      </c>
      <c r="D26" s="3" t="s">
        <v>300</v>
      </c>
      <c r="E26" s="3" t="s">
        <v>300</v>
      </c>
      <c r="F26" s="3" t="s">
        <v>300</v>
      </c>
      <c r="G26" s="3" t="s">
        <v>300</v>
      </c>
      <c r="H26" s="3" t="s">
        <v>300</v>
      </c>
      <c r="I26" s="3" t="s">
        <v>300</v>
      </c>
      <c r="J26" s="3" t="s">
        <v>300</v>
      </c>
      <c r="K26" s="3" t="s">
        <v>300</v>
      </c>
      <c r="L26" s="3" t="s">
        <v>300</v>
      </c>
      <c r="M26" s="3" t="s">
        <v>300</v>
      </c>
    </row>
    <row r="27" spans="1:13" ht="28.5" customHeight="1" x14ac:dyDescent="0.3">
      <c r="A27" s="3" t="s">
        <v>180</v>
      </c>
      <c r="B27" s="3" t="s">
        <v>300</v>
      </c>
      <c r="C27" s="3" t="s">
        <v>300</v>
      </c>
      <c r="D27" s="3" t="s">
        <v>300</v>
      </c>
      <c r="E27" s="3" t="s">
        <v>300</v>
      </c>
      <c r="F27" s="4">
        <f>SUM(F6:F26)</f>
        <v>0</v>
      </c>
      <c r="G27" s="4">
        <f>SUM(G6:G26)</f>
        <v>0</v>
      </c>
      <c r="H27" s="4">
        <f>SUM(H6:H26)</f>
        <v>0</v>
      </c>
      <c r="I27" s="4"/>
      <c r="J27" s="4">
        <f>SUM(J12:J14,J6:J8)</f>
        <v>0</v>
      </c>
      <c r="K27" s="4">
        <f t="shared" ref="K27" si="0">SUM(K6:K9)</f>
        <v>0</v>
      </c>
      <c r="L27" s="4">
        <f>SUM(L6:L9,L12:L15)</f>
        <v>0</v>
      </c>
      <c r="M27" s="3" t="s">
        <v>300</v>
      </c>
    </row>
  </sheetData>
  <mergeCells count="11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6" type="noConversion"/>
  <pageMargins left="0.39370078740157483" right="0.39370078740157483" top="0.59055118110236227" bottom="0.39370078740157483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  <pageSetUpPr fitToPage="1"/>
  </sheetPr>
  <dimension ref="A1:V105"/>
  <sheetViews>
    <sheetView view="pageBreakPreview" topLeftCell="B46" zoomScale="70" zoomScaleNormal="100" zoomScaleSheetLayoutView="70" workbookViewId="0">
      <selection activeCell="AB18" sqref="AB18"/>
    </sheetView>
  </sheetViews>
  <sheetFormatPr defaultColWidth="9.125"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14" width="13" hidden="1" customWidth="1"/>
    <col min="15" max="15" width="0" hidden="1" customWidth="1"/>
    <col min="16" max="16" width="13" hidden="1" customWidth="1"/>
    <col min="17" max="18" width="11.5" hidden="1" customWidth="1"/>
    <col min="19" max="19" width="12.625" hidden="1" customWidth="1"/>
    <col min="20" max="20" width="0" hidden="1" customWidth="1"/>
    <col min="21" max="22" width="11.5" hidden="1" customWidth="1"/>
  </cols>
  <sheetData>
    <row r="1" spans="1:13" ht="30" customHeight="1" x14ac:dyDescent="0.3">
      <c r="A1" s="102" t="s">
        <v>322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</row>
    <row r="2" spans="1:13" ht="28.5" customHeight="1" x14ac:dyDescent="0.3">
      <c r="A2" s="103" t="s">
        <v>394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</row>
    <row r="3" spans="1:13" ht="28.5" customHeight="1" x14ac:dyDescent="0.3">
      <c r="A3" s="111" t="s">
        <v>234</v>
      </c>
      <c r="B3" s="111" t="s">
        <v>132</v>
      </c>
      <c r="C3" s="111" t="s">
        <v>22</v>
      </c>
      <c r="D3" s="111" t="s">
        <v>297</v>
      </c>
      <c r="E3" s="104" t="s">
        <v>30</v>
      </c>
      <c r="F3" s="106"/>
      <c r="G3" s="104" t="s">
        <v>170</v>
      </c>
      <c r="H3" s="106"/>
      <c r="I3" s="104" t="s">
        <v>100</v>
      </c>
      <c r="J3" s="106"/>
      <c r="K3" s="104" t="s">
        <v>220</v>
      </c>
      <c r="L3" s="106"/>
      <c r="M3" s="111" t="s">
        <v>282</v>
      </c>
    </row>
    <row r="4" spans="1:13" ht="28.5" customHeight="1" x14ac:dyDescent="0.3">
      <c r="A4" s="112"/>
      <c r="B4" s="112"/>
      <c r="C4" s="112"/>
      <c r="D4" s="112"/>
      <c r="E4" s="9" t="s">
        <v>353</v>
      </c>
      <c r="F4" s="9" t="s">
        <v>2</v>
      </c>
      <c r="G4" s="9" t="s">
        <v>353</v>
      </c>
      <c r="H4" s="9" t="s">
        <v>2</v>
      </c>
      <c r="I4" s="9" t="s">
        <v>353</v>
      </c>
      <c r="J4" s="9" t="s">
        <v>2</v>
      </c>
      <c r="K4" s="9" t="s">
        <v>353</v>
      </c>
      <c r="L4" s="9" t="s">
        <v>2</v>
      </c>
      <c r="M4" s="112"/>
    </row>
    <row r="5" spans="1:13" ht="28.5" customHeight="1" x14ac:dyDescent="0.3">
      <c r="A5" s="67" t="s">
        <v>434</v>
      </c>
      <c r="B5" s="67"/>
      <c r="C5" s="67"/>
      <c r="D5" s="67"/>
      <c r="E5" s="9"/>
      <c r="F5" s="9"/>
      <c r="G5" s="9"/>
      <c r="H5" s="9"/>
      <c r="I5" s="9"/>
      <c r="J5" s="9"/>
      <c r="K5" s="9"/>
      <c r="L5" s="9"/>
      <c r="M5" s="67"/>
    </row>
    <row r="6" spans="1:13" ht="28.5" customHeight="1" x14ac:dyDescent="0.3">
      <c r="A6" s="36" t="s">
        <v>435</v>
      </c>
      <c r="B6" s="14"/>
      <c r="C6" s="14"/>
      <c r="D6" s="14"/>
      <c r="E6" s="9"/>
      <c r="F6" s="9"/>
      <c r="G6" s="9"/>
      <c r="H6" s="9"/>
      <c r="I6" s="9"/>
      <c r="J6" s="9"/>
      <c r="K6" s="9"/>
      <c r="L6" s="9"/>
      <c r="M6" s="14"/>
    </row>
    <row r="7" spans="1:13" ht="28.5" customHeight="1" x14ac:dyDescent="0.3">
      <c r="A7" s="12" t="s">
        <v>395</v>
      </c>
      <c r="B7" s="12" t="s">
        <v>396</v>
      </c>
      <c r="C7" s="11" t="s">
        <v>375</v>
      </c>
      <c r="D7" s="70">
        <v>4</v>
      </c>
      <c r="E7" s="44"/>
      <c r="F7" s="44"/>
      <c r="G7" s="44"/>
      <c r="H7" s="44"/>
      <c r="I7" s="44"/>
      <c r="J7" s="44"/>
      <c r="K7" s="44"/>
      <c r="L7" s="44"/>
      <c r="M7" s="34"/>
    </row>
    <row r="8" spans="1:13" ht="28.5" customHeight="1" x14ac:dyDescent="0.3">
      <c r="A8" s="12" t="s">
        <v>397</v>
      </c>
      <c r="B8" s="12" t="s">
        <v>403</v>
      </c>
      <c r="C8" s="11" t="s">
        <v>375</v>
      </c>
      <c r="D8" s="70">
        <v>2</v>
      </c>
      <c r="E8" s="44"/>
      <c r="F8" s="44"/>
      <c r="G8" s="44"/>
      <c r="H8" s="44"/>
      <c r="I8" s="44"/>
      <c r="J8" s="44"/>
      <c r="K8" s="44"/>
      <c r="L8" s="44"/>
      <c r="M8" s="34"/>
    </row>
    <row r="9" spans="1:13" s="20" customFormat="1" ht="28.5" customHeight="1" x14ac:dyDescent="0.3">
      <c r="A9" s="12" t="s">
        <v>398</v>
      </c>
      <c r="B9" s="15" t="s">
        <v>404</v>
      </c>
      <c r="C9" s="18" t="s">
        <v>375</v>
      </c>
      <c r="D9" s="70">
        <v>1</v>
      </c>
      <c r="E9" s="44"/>
      <c r="F9" s="44"/>
      <c r="G9" s="44"/>
      <c r="H9" s="44"/>
      <c r="I9" s="44"/>
      <c r="J9" s="44"/>
      <c r="K9" s="44"/>
      <c r="L9" s="44"/>
      <c r="M9" s="63"/>
    </row>
    <row r="10" spans="1:13" s="20" customFormat="1" ht="28.5" customHeight="1" x14ac:dyDescent="0.3">
      <c r="A10" s="12" t="s">
        <v>525</v>
      </c>
      <c r="B10" s="15" t="s">
        <v>405</v>
      </c>
      <c r="C10" s="18" t="s">
        <v>375</v>
      </c>
      <c r="D10" s="70">
        <v>2</v>
      </c>
      <c r="E10" s="44"/>
      <c r="F10" s="44"/>
      <c r="G10" s="44"/>
      <c r="H10" s="44"/>
      <c r="I10" s="44"/>
      <c r="J10" s="44"/>
      <c r="K10" s="44"/>
      <c r="L10" s="44"/>
      <c r="M10" s="63"/>
    </row>
    <row r="11" spans="1:13" s="20" customFormat="1" ht="28.5" customHeight="1" x14ac:dyDescent="0.3">
      <c r="A11" s="12" t="s">
        <v>399</v>
      </c>
      <c r="B11" s="15" t="s">
        <v>406</v>
      </c>
      <c r="C11" s="18" t="s">
        <v>375</v>
      </c>
      <c r="D11" s="70">
        <v>1</v>
      </c>
      <c r="E11" s="44"/>
      <c r="F11" s="44"/>
      <c r="G11" s="44"/>
      <c r="H11" s="44"/>
      <c r="I11" s="44"/>
      <c r="J11" s="44"/>
      <c r="K11" s="44"/>
      <c r="L11" s="44"/>
      <c r="M11" s="63"/>
    </row>
    <row r="12" spans="1:13" s="20" customFormat="1" ht="28.5" customHeight="1" x14ac:dyDescent="0.3">
      <c r="A12" s="12" t="s">
        <v>400</v>
      </c>
      <c r="B12" s="22" t="s">
        <v>407</v>
      </c>
      <c r="C12" s="18" t="s">
        <v>375</v>
      </c>
      <c r="D12" s="70">
        <v>1</v>
      </c>
      <c r="E12" s="44"/>
      <c r="F12" s="44"/>
      <c r="G12" s="44"/>
      <c r="H12" s="44"/>
      <c r="I12" s="44"/>
      <c r="J12" s="44"/>
      <c r="K12" s="44"/>
      <c r="L12" s="44"/>
      <c r="M12" s="63"/>
    </row>
    <row r="13" spans="1:13" s="20" customFormat="1" ht="28.5" customHeight="1" x14ac:dyDescent="0.3">
      <c r="A13" s="12" t="s">
        <v>401</v>
      </c>
      <c r="B13" s="22" t="s">
        <v>408</v>
      </c>
      <c r="C13" s="18" t="s">
        <v>375</v>
      </c>
      <c r="D13" s="70">
        <v>2</v>
      </c>
      <c r="E13" s="44"/>
      <c r="F13" s="44"/>
      <c r="G13" s="44"/>
      <c r="H13" s="44"/>
      <c r="I13" s="44"/>
      <c r="J13" s="44"/>
      <c r="K13" s="44"/>
      <c r="L13" s="44"/>
      <c r="M13" s="63"/>
    </row>
    <row r="14" spans="1:13" s="20" customFormat="1" ht="28.5" customHeight="1" x14ac:dyDescent="0.3">
      <c r="A14" s="12" t="s">
        <v>402</v>
      </c>
      <c r="B14" s="22" t="s">
        <v>409</v>
      </c>
      <c r="C14" s="18" t="s">
        <v>375</v>
      </c>
      <c r="D14" s="70">
        <v>4</v>
      </c>
      <c r="E14" s="44"/>
      <c r="F14" s="44"/>
      <c r="G14" s="44"/>
      <c r="H14" s="44"/>
      <c r="I14" s="44"/>
      <c r="J14" s="44"/>
      <c r="K14" s="44"/>
      <c r="L14" s="44"/>
      <c r="M14" s="63"/>
    </row>
    <row r="15" spans="1:13" s="20" customFormat="1" ht="28.5" customHeight="1" x14ac:dyDescent="0.3">
      <c r="A15" s="12" t="s">
        <v>411</v>
      </c>
      <c r="B15" s="15" t="s">
        <v>410</v>
      </c>
      <c r="C15" s="15" t="s">
        <v>375</v>
      </c>
      <c r="D15" s="70">
        <v>31</v>
      </c>
      <c r="E15" s="44"/>
      <c r="F15" s="44"/>
      <c r="G15" s="44"/>
      <c r="H15" s="44"/>
      <c r="I15" s="44"/>
      <c r="J15" s="44"/>
      <c r="K15" s="44"/>
      <c r="L15" s="44"/>
      <c r="M15" s="63"/>
    </row>
    <row r="16" spans="1:13" s="20" customFormat="1" ht="28.5" customHeight="1" x14ac:dyDescent="0.3">
      <c r="A16" s="12" t="s">
        <v>412</v>
      </c>
      <c r="B16" s="15" t="s">
        <v>420</v>
      </c>
      <c r="C16" s="15" t="s">
        <v>375</v>
      </c>
      <c r="D16" s="70">
        <v>10</v>
      </c>
      <c r="E16" s="44"/>
      <c r="F16" s="44"/>
      <c r="G16" s="44"/>
      <c r="H16" s="44"/>
      <c r="I16" s="44"/>
      <c r="J16" s="44"/>
      <c r="K16" s="44"/>
      <c r="L16" s="44"/>
      <c r="M16" s="63"/>
    </row>
    <row r="17" spans="1:22" s="20" customFormat="1" ht="28.5" customHeight="1" x14ac:dyDescent="0.3">
      <c r="A17" s="12" t="s">
        <v>413</v>
      </c>
      <c r="B17" s="15" t="s">
        <v>427</v>
      </c>
      <c r="C17" s="15" t="s">
        <v>375</v>
      </c>
      <c r="D17" s="70">
        <v>18</v>
      </c>
      <c r="E17" s="44"/>
      <c r="F17" s="44"/>
      <c r="G17" s="44"/>
      <c r="H17" s="44"/>
      <c r="I17" s="44"/>
      <c r="J17" s="44"/>
      <c r="K17" s="44"/>
      <c r="L17" s="44"/>
      <c r="M17" s="63"/>
    </row>
    <row r="18" spans="1:22" s="20" customFormat="1" ht="28.5" customHeight="1" x14ac:dyDescent="0.3">
      <c r="A18" s="12" t="s">
        <v>414</v>
      </c>
      <c r="B18" s="15" t="s">
        <v>428</v>
      </c>
      <c r="C18" s="15" t="s">
        <v>375</v>
      </c>
      <c r="D18" s="70">
        <v>28</v>
      </c>
      <c r="E18" s="44"/>
      <c r="F18" s="44"/>
      <c r="G18" s="44"/>
      <c r="H18" s="44"/>
      <c r="I18" s="44"/>
      <c r="J18" s="44"/>
      <c r="K18" s="44"/>
      <c r="L18" s="44"/>
      <c r="M18" s="63"/>
    </row>
    <row r="19" spans="1:22" s="20" customFormat="1" ht="28.5" customHeight="1" x14ac:dyDescent="0.3">
      <c r="A19" s="12" t="s">
        <v>415</v>
      </c>
      <c r="B19" s="15" t="s">
        <v>426</v>
      </c>
      <c r="C19" s="15" t="s">
        <v>375</v>
      </c>
      <c r="D19" s="70">
        <v>14</v>
      </c>
      <c r="E19" s="44"/>
      <c r="F19" s="44"/>
      <c r="G19" s="44"/>
      <c r="H19" s="44"/>
      <c r="I19" s="44"/>
      <c r="J19" s="44"/>
      <c r="K19" s="44"/>
      <c r="L19" s="44"/>
      <c r="M19" s="63"/>
    </row>
    <row r="20" spans="1:22" s="20" customFormat="1" ht="28.5" customHeight="1" x14ac:dyDescent="0.3">
      <c r="A20" s="12" t="s">
        <v>416</v>
      </c>
      <c r="B20" s="15" t="s">
        <v>425</v>
      </c>
      <c r="C20" s="15" t="s">
        <v>375</v>
      </c>
      <c r="D20" s="70">
        <v>6</v>
      </c>
      <c r="E20" s="44"/>
      <c r="F20" s="44"/>
      <c r="G20" s="44"/>
      <c r="H20" s="44"/>
      <c r="I20" s="44"/>
      <c r="J20" s="44"/>
      <c r="K20" s="44"/>
      <c r="L20" s="44"/>
      <c r="M20" s="63"/>
    </row>
    <row r="21" spans="1:22" s="20" customFormat="1" ht="28.5" customHeight="1" x14ac:dyDescent="0.3">
      <c r="A21" s="12" t="s">
        <v>417</v>
      </c>
      <c r="B21" s="15" t="s">
        <v>424</v>
      </c>
      <c r="C21" s="15" t="s">
        <v>375</v>
      </c>
      <c r="D21" s="70">
        <v>486</v>
      </c>
      <c r="E21" s="44"/>
      <c r="F21" s="44"/>
      <c r="G21" s="44"/>
      <c r="H21" s="44"/>
      <c r="I21" s="44"/>
      <c r="J21" s="44"/>
      <c r="K21" s="44"/>
      <c r="L21" s="44"/>
      <c r="M21" s="63"/>
    </row>
    <row r="22" spans="1:22" s="20" customFormat="1" ht="28.5" customHeight="1" x14ac:dyDescent="0.3">
      <c r="A22" s="12" t="s">
        <v>418</v>
      </c>
      <c r="B22" s="15" t="s">
        <v>423</v>
      </c>
      <c r="C22" s="15" t="s">
        <v>375</v>
      </c>
      <c r="D22" s="70">
        <v>20</v>
      </c>
      <c r="E22" s="44"/>
      <c r="F22" s="44"/>
      <c r="G22" s="44"/>
      <c r="H22" s="44"/>
      <c r="I22" s="44"/>
      <c r="J22" s="44"/>
      <c r="K22" s="44"/>
      <c r="L22" s="44"/>
      <c r="M22" s="63"/>
    </row>
    <row r="23" spans="1:22" s="20" customFormat="1" ht="28.5" customHeight="1" x14ac:dyDescent="0.3">
      <c r="A23" s="12" t="s">
        <v>421</v>
      </c>
      <c r="B23" s="15" t="s">
        <v>422</v>
      </c>
      <c r="C23" s="15" t="s">
        <v>375</v>
      </c>
      <c r="D23" s="70">
        <v>20</v>
      </c>
      <c r="E23" s="44"/>
      <c r="F23" s="44"/>
      <c r="G23" s="44"/>
      <c r="H23" s="44"/>
      <c r="I23" s="44"/>
      <c r="J23" s="44"/>
      <c r="K23" s="44"/>
      <c r="L23" s="44"/>
      <c r="M23" s="63"/>
    </row>
    <row r="24" spans="1:22" s="20" customFormat="1" ht="28.5" customHeight="1" x14ac:dyDescent="0.3">
      <c r="A24" s="12" t="s">
        <v>419</v>
      </c>
      <c r="B24" s="15" t="s">
        <v>409</v>
      </c>
      <c r="C24" s="15" t="s">
        <v>375</v>
      </c>
      <c r="D24" s="70">
        <v>14</v>
      </c>
      <c r="E24" s="44"/>
      <c r="F24" s="44"/>
      <c r="G24" s="44"/>
      <c r="H24" s="44"/>
      <c r="I24" s="44"/>
      <c r="J24" s="44"/>
      <c r="K24" s="44"/>
      <c r="L24" s="44"/>
      <c r="M24" s="63"/>
    </row>
    <row r="25" spans="1:22" ht="28.5" customHeight="1" x14ac:dyDescent="0.3">
      <c r="A25" s="12" t="s">
        <v>429</v>
      </c>
      <c r="B25" s="15" t="s">
        <v>430</v>
      </c>
      <c r="C25" s="15" t="s">
        <v>375</v>
      </c>
      <c r="D25" s="70">
        <v>4</v>
      </c>
      <c r="E25" s="44"/>
      <c r="F25" s="44"/>
      <c r="G25" s="44"/>
      <c r="H25" s="44"/>
      <c r="I25" s="44"/>
      <c r="J25" s="44"/>
      <c r="K25" s="44"/>
      <c r="L25" s="44"/>
      <c r="M25" s="34"/>
    </row>
    <row r="26" spans="1:22" ht="28.5" customHeight="1" x14ac:dyDescent="0.3">
      <c r="A26" s="12" t="s">
        <v>431</v>
      </c>
      <c r="B26" s="24" t="s">
        <v>432</v>
      </c>
      <c r="C26" s="15" t="s">
        <v>375</v>
      </c>
      <c r="D26" s="70">
        <v>4</v>
      </c>
      <c r="E26" s="44"/>
      <c r="F26" s="44"/>
      <c r="G26" s="44"/>
      <c r="H26" s="44"/>
      <c r="I26" s="44"/>
      <c r="J26" s="44"/>
      <c r="K26" s="44"/>
      <c r="L26" s="44"/>
      <c r="M26" s="34"/>
    </row>
    <row r="27" spans="1:22" ht="28.5" customHeight="1" x14ac:dyDescent="0.3">
      <c r="A27" s="12" t="s">
        <v>436</v>
      </c>
      <c r="B27" s="24" t="s">
        <v>433</v>
      </c>
      <c r="C27" s="15" t="s">
        <v>375</v>
      </c>
      <c r="D27" s="70">
        <v>3</v>
      </c>
      <c r="E27" s="44"/>
      <c r="F27" s="44"/>
      <c r="G27" s="44"/>
      <c r="H27" s="44"/>
      <c r="I27" s="44"/>
      <c r="J27" s="44"/>
      <c r="K27" s="44"/>
      <c r="L27" s="44"/>
      <c r="M27" s="34"/>
    </row>
    <row r="28" spans="1:22" s="35" customFormat="1" ht="28.5" customHeight="1" x14ac:dyDescent="0.3">
      <c r="A28" s="34" t="s">
        <v>376</v>
      </c>
      <c r="B28" s="34" t="s">
        <v>378</v>
      </c>
      <c r="C28" s="34" t="s">
        <v>377</v>
      </c>
      <c r="D28" s="42">
        <v>15</v>
      </c>
      <c r="E28" s="44"/>
      <c r="F28" s="44"/>
      <c r="G28" s="44"/>
      <c r="H28" s="44"/>
      <c r="I28" s="44"/>
      <c r="J28" s="44"/>
      <c r="K28" s="44"/>
      <c r="L28" s="44"/>
      <c r="M28" s="34"/>
      <c r="U28" s="97">
        <v>1.1000000000000001</v>
      </c>
    </row>
    <row r="29" spans="1:22" s="58" customFormat="1" ht="28.5" customHeight="1" x14ac:dyDescent="0.3">
      <c r="A29" s="54" t="s">
        <v>374</v>
      </c>
      <c r="B29" s="54"/>
      <c r="C29" s="54"/>
      <c r="D29" s="55"/>
      <c r="E29" s="56"/>
      <c r="F29" s="56"/>
      <c r="G29" s="56"/>
      <c r="H29" s="56"/>
      <c r="I29" s="56"/>
      <c r="J29" s="56"/>
      <c r="K29" s="56"/>
      <c r="L29" s="56"/>
      <c r="M29" s="54"/>
      <c r="N29" s="75" t="s">
        <v>486</v>
      </c>
      <c r="O29" s="75" t="s">
        <v>487</v>
      </c>
      <c r="P29" s="75" t="s">
        <v>381</v>
      </c>
      <c r="Q29" s="75" t="s">
        <v>382</v>
      </c>
      <c r="R29" s="75" t="s">
        <v>383</v>
      </c>
      <c r="S29" s="75" t="s">
        <v>384</v>
      </c>
      <c r="T29" s="57"/>
      <c r="U29" s="57"/>
    </row>
    <row r="30" spans="1:22" ht="28.5" customHeight="1" x14ac:dyDescent="0.3">
      <c r="A30" s="36" t="s">
        <v>483</v>
      </c>
      <c r="B30" s="14"/>
      <c r="C30" s="14"/>
      <c r="D30" s="43"/>
      <c r="E30" s="44"/>
      <c r="F30" s="44"/>
      <c r="G30" s="44"/>
      <c r="H30" s="44"/>
      <c r="I30" s="44"/>
      <c r="J30" s="44"/>
      <c r="K30" s="44"/>
      <c r="L30" s="44"/>
      <c r="M30" s="34"/>
      <c r="N30" s="76"/>
      <c r="O30" s="76"/>
      <c r="P30" s="76">
        <v>140000</v>
      </c>
      <c r="Q30" s="76">
        <v>0.3</v>
      </c>
      <c r="R30" s="76"/>
      <c r="S30" s="76">
        <v>0.5</v>
      </c>
      <c r="T30" s="77"/>
      <c r="U30" s="77"/>
    </row>
    <row r="31" spans="1:22" ht="28.5" customHeight="1" x14ac:dyDescent="0.3">
      <c r="A31" s="12" t="s">
        <v>437</v>
      </c>
      <c r="B31" s="12" t="s">
        <v>396</v>
      </c>
      <c r="C31" s="11" t="s">
        <v>375</v>
      </c>
      <c r="D31" s="70">
        <v>4</v>
      </c>
      <c r="E31" s="45"/>
      <c r="F31" s="44"/>
      <c r="G31" s="45"/>
      <c r="H31" s="44"/>
      <c r="I31" s="44"/>
      <c r="J31" s="44"/>
      <c r="K31" s="44"/>
      <c r="L31" s="44"/>
      <c r="M31" s="11" t="s">
        <v>300</v>
      </c>
      <c r="N31" s="78">
        <v>2001670.0000000002</v>
      </c>
      <c r="O31" s="76">
        <f>6.55*0.9</f>
        <v>5.8949999999999996</v>
      </c>
      <c r="P31" s="76">
        <f>$P$30*O31</f>
        <v>825299.99999999988</v>
      </c>
      <c r="Q31" s="76">
        <f>P31*$Q$30</f>
        <v>247589.99999999994</v>
      </c>
      <c r="R31" s="76">
        <f>N31-P31-Q31</f>
        <v>928780.00000000047</v>
      </c>
      <c r="S31" s="76">
        <f>$S$30*R31</f>
        <v>464390.00000000023</v>
      </c>
      <c r="T31" s="77"/>
      <c r="U31" s="98">
        <f>$U$28*V31</f>
        <v>2001670.0000000002</v>
      </c>
      <c r="V31" s="78">
        <v>1819700</v>
      </c>
    </row>
    <row r="32" spans="1:22" ht="28.5" customHeight="1" x14ac:dyDescent="0.3">
      <c r="A32" s="12" t="s">
        <v>438</v>
      </c>
      <c r="B32" s="12" t="s">
        <v>403</v>
      </c>
      <c r="C32" s="11" t="s">
        <v>375</v>
      </c>
      <c r="D32" s="70">
        <v>2</v>
      </c>
      <c r="E32" s="45"/>
      <c r="F32" s="44"/>
      <c r="G32" s="45"/>
      <c r="H32" s="44"/>
      <c r="I32" s="44"/>
      <c r="J32" s="44"/>
      <c r="K32" s="44"/>
      <c r="L32" s="44"/>
      <c r="M32" s="11"/>
      <c r="N32" s="78">
        <v>1701700.0000000002</v>
      </c>
      <c r="O32" s="76">
        <f>6.125*0.9</f>
        <v>5.5125000000000002</v>
      </c>
      <c r="P32" s="76">
        <f t="shared" ref="P32:P41" si="0">$P$30*O32</f>
        <v>771750</v>
      </c>
      <c r="Q32" s="76">
        <f t="shared" ref="Q32:Q47" si="1">P32*$Q$30</f>
        <v>231525</v>
      </c>
      <c r="R32" s="76">
        <f t="shared" ref="R32:R47" si="2">N32-P32-Q32</f>
        <v>698425.00000000023</v>
      </c>
      <c r="S32" s="76">
        <f t="shared" ref="S32:S47" si="3">$S$30*R32</f>
        <v>349212.50000000012</v>
      </c>
      <c r="T32" s="77"/>
      <c r="U32" s="98">
        <f t="shared" ref="U32:U51" si="4">$U$28*V32</f>
        <v>1701700.0000000002</v>
      </c>
      <c r="V32" s="78">
        <v>1547000</v>
      </c>
    </row>
    <row r="33" spans="1:22" s="20" customFormat="1" ht="28.5" customHeight="1" x14ac:dyDescent="0.3">
      <c r="A33" s="12" t="s">
        <v>439</v>
      </c>
      <c r="B33" s="15" t="s">
        <v>404</v>
      </c>
      <c r="C33" s="18" t="s">
        <v>375</v>
      </c>
      <c r="D33" s="70">
        <v>1</v>
      </c>
      <c r="E33" s="45"/>
      <c r="F33" s="61"/>
      <c r="G33" s="45"/>
      <c r="H33" s="61"/>
      <c r="I33" s="44"/>
      <c r="J33" s="44"/>
      <c r="K33" s="61"/>
      <c r="L33" s="61"/>
      <c r="M33" s="18"/>
      <c r="N33" s="16">
        <v>1694000.0000000002</v>
      </c>
      <c r="O33" s="79">
        <f>6.1*0.9</f>
        <v>5.49</v>
      </c>
      <c r="P33" s="79">
        <f t="shared" si="0"/>
        <v>768600</v>
      </c>
      <c r="Q33" s="79">
        <f t="shared" si="1"/>
        <v>230580</v>
      </c>
      <c r="R33" s="79">
        <f t="shared" ref="R33" si="5">N33-P33-Q33</f>
        <v>694820.00000000023</v>
      </c>
      <c r="S33" s="79">
        <f t="shared" si="3"/>
        <v>347410.00000000012</v>
      </c>
      <c r="T33" s="80"/>
      <c r="U33" s="98">
        <f t="shared" si="4"/>
        <v>1694000.0000000002</v>
      </c>
      <c r="V33" s="16">
        <v>1540000</v>
      </c>
    </row>
    <row r="34" spans="1:22" s="20" customFormat="1" ht="28.5" customHeight="1" x14ac:dyDescent="0.3">
      <c r="A34" s="12" t="s">
        <v>440</v>
      </c>
      <c r="B34" s="15" t="s">
        <v>405</v>
      </c>
      <c r="C34" s="18" t="s">
        <v>375</v>
      </c>
      <c r="D34" s="70">
        <v>2</v>
      </c>
      <c r="E34" s="45"/>
      <c r="F34" s="61"/>
      <c r="G34" s="45"/>
      <c r="H34" s="61"/>
      <c r="I34" s="44"/>
      <c r="J34" s="44"/>
      <c r="K34" s="61"/>
      <c r="L34" s="61"/>
      <c r="M34" s="18"/>
      <c r="N34" s="16">
        <v>880000.00000000012</v>
      </c>
      <c r="O34" s="79">
        <f>3.125*0.9</f>
        <v>2.8125</v>
      </c>
      <c r="P34" s="79">
        <f t="shared" si="0"/>
        <v>393750</v>
      </c>
      <c r="Q34" s="79">
        <f t="shared" si="1"/>
        <v>118125</v>
      </c>
      <c r="R34" s="79">
        <f t="shared" ref="R34" si="6">N34-P34-Q34</f>
        <v>368125.00000000012</v>
      </c>
      <c r="S34" s="79">
        <f t="shared" si="3"/>
        <v>184062.50000000006</v>
      </c>
      <c r="T34" s="80"/>
      <c r="U34" s="98">
        <f t="shared" si="4"/>
        <v>880000.00000000012</v>
      </c>
      <c r="V34" s="16">
        <v>800000</v>
      </c>
    </row>
    <row r="35" spans="1:22" s="20" customFormat="1" ht="28.5" customHeight="1" x14ac:dyDescent="0.3">
      <c r="A35" s="12" t="s">
        <v>441</v>
      </c>
      <c r="B35" s="15" t="s">
        <v>406</v>
      </c>
      <c r="C35" s="18" t="s">
        <v>375</v>
      </c>
      <c r="D35" s="70">
        <v>1</v>
      </c>
      <c r="E35" s="45"/>
      <c r="F35" s="61"/>
      <c r="G35" s="45"/>
      <c r="H35" s="61"/>
      <c r="I35" s="44"/>
      <c r="J35" s="44"/>
      <c r="K35" s="61"/>
      <c r="L35" s="61"/>
      <c r="M35" s="18"/>
      <c r="N35" s="16">
        <v>1339910</v>
      </c>
      <c r="O35" s="79">
        <f>4.95*0.9</f>
        <v>4.4550000000000001</v>
      </c>
      <c r="P35" s="79">
        <f t="shared" si="0"/>
        <v>623700</v>
      </c>
      <c r="Q35" s="79">
        <f t="shared" si="1"/>
        <v>187110</v>
      </c>
      <c r="R35" s="79">
        <f t="shared" ref="R35" si="7">N35-P35-Q35</f>
        <v>529100</v>
      </c>
      <c r="S35" s="79">
        <f t="shared" si="3"/>
        <v>264550</v>
      </c>
      <c r="T35" s="80"/>
      <c r="U35" s="98">
        <f t="shared" si="4"/>
        <v>1339910</v>
      </c>
      <c r="V35" s="16">
        <v>1218100</v>
      </c>
    </row>
    <row r="36" spans="1:22" s="20" customFormat="1" ht="28.5" customHeight="1" x14ac:dyDescent="0.3">
      <c r="A36" s="12" t="s">
        <v>442</v>
      </c>
      <c r="B36" s="22" t="s">
        <v>407</v>
      </c>
      <c r="C36" s="18" t="s">
        <v>375</v>
      </c>
      <c r="D36" s="70">
        <v>1</v>
      </c>
      <c r="E36" s="45"/>
      <c r="F36" s="61"/>
      <c r="G36" s="45"/>
      <c r="H36" s="61"/>
      <c r="I36" s="44"/>
      <c r="J36" s="44"/>
      <c r="K36" s="61"/>
      <c r="L36" s="61"/>
      <c r="M36" s="18"/>
      <c r="N36" s="81">
        <v>1331099</v>
      </c>
      <c r="O36" s="79">
        <f>4.8*0.9</f>
        <v>4.32</v>
      </c>
      <c r="P36" s="79">
        <f t="shared" si="0"/>
        <v>604800</v>
      </c>
      <c r="Q36" s="79">
        <f t="shared" si="1"/>
        <v>181440</v>
      </c>
      <c r="R36" s="79">
        <f t="shared" si="2"/>
        <v>544859</v>
      </c>
      <c r="S36" s="79">
        <f t="shared" si="3"/>
        <v>272429.5</v>
      </c>
      <c r="T36" s="80"/>
      <c r="U36" s="98">
        <f t="shared" si="4"/>
        <v>1331099</v>
      </c>
      <c r="V36" s="81">
        <v>1210090</v>
      </c>
    </row>
    <row r="37" spans="1:22" s="20" customFormat="1" ht="28.5" customHeight="1" x14ac:dyDescent="0.3">
      <c r="A37" s="12" t="s">
        <v>443</v>
      </c>
      <c r="B37" s="22" t="s">
        <v>408</v>
      </c>
      <c r="C37" s="18" t="s">
        <v>375</v>
      </c>
      <c r="D37" s="70">
        <v>2</v>
      </c>
      <c r="E37" s="45"/>
      <c r="F37" s="61"/>
      <c r="G37" s="45"/>
      <c r="H37" s="61"/>
      <c r="I37" s="44"/>
      <c r="J37" s="44"/>
      <c r="K37" s="61"/>
      <c r="L37" s="61"/>
      <c r="M37" s="18"/>
      <c r="N37" s="81">
        <v>1314610</v>
      </c>
      <c r="O37" s="79">
        <f>4.6*0.9</f>
        <v>4.1399999999999997</v>
      </c>
      <c r="P37" s="79">
        <f t="shared" si="0"/>
        <v>579600</v>
      </c>
      <c r="Q37" s="79">
        <f t="shared" si="1"/>
        <v>173880</v>
      </c>
      <c r="R37" s="79">
        <f t="shared" si="2"/>
        <v>561130</v>
      </c>
      <c r="S37" s="79">
        <f t="shared" si="3"/>
        <v>280565</v>
      </c>
      <c r="T37" s="80"/>
      <c r="U37" s="98">
        <f t="shared" si="4"/>
        <v>1314610</v>
      </c>
      <c r="V37" s="81">
        <v>1195100</v>
      </c>
    </row>
    <row r="38" spans="1:22" s="20" customFormat="1" ht="28.5" customHeight="1" x14ac:dyDescent="0.3">
      <c r="A38" s="12" t="s">
        <v>444</v>
      </c>
      <c r="B38" s="22" t="s">
        <v>409</v>
      </c>
      <c r="C38" s="18" t="s">
        <v>375</v>
      </c>
      <c r="D38" s="70">
        <v>4</v>
      </c>
      <c r="E38" s="45"/>
      <c r="F38" s="61"/>
      <c r="G38" s="45"/>
      <c r="H38" s="61"/>
      <c r="I38" s="44"/>
      <c r="J38" s="44"/>
      <c r="K38" s="61"/>
      <c r="L38" s="61"/>
      <c r="M38" s="18"/>
      <c r="N38" s="81">
        <v>398970.00000000006</v>
      </c>
      <c r="O38" s="79">
        <f>1.2*0.9</f>
        <v>1.08</v>
      </c>
      <c r="P38" s="79">
        <f t="shared" si="0"/>
        <v>151200</v>
      </c>
      <c r="Q38" s="79">
        <f t="shared" si="1"/>
        <v>45360</v>
      </c>
      <c r="R38" s="79">
        <f t="shared" si="2"/>
        <v>202410.00000000006</v>
      </c>
      <c r="S38" s="79">
        <f t="shared" si="3"/>
        <v>101205.00000000003</v>
      </c>
      <c r="T38" s="80"/>
      <c r="U38" s="98">
        <f t="shared" si="4"/>
        <v>398970.00000000006</v>
      </c>
      <c r="V38" s="81">
        <v>362700</v>
      </c>
    </row>
    <row r="39" spans="1:22" s="20" customFormat="1" ht="28.5" customHeight="1" x14ac:dyDescent="0.3">
      <c r="A39" s="12" t="s">
        <v>445</v>
      </c>
      <c r="B39" s="15" t="s">
        <v>410</v>
      </c>
      <c r="C39" s="15" t="s">
        <v>375</v>
      </c>
      <c r="D39" s="70">
        <v>31</v>
      </c>
      <c r="E39" s="45"/>
      <c r="F39" s="61"/>
      <c r="G39" s="45"/>
      <c r="H39" s="61"/>
      <c r="I39" s="44"/>
      <c r="J39" s="44"/>
      <c r="K39" s="61"/>
      <c r="L39" s="61"/>
      <c r="M39" s="18"/>
      <c r="N39" s="16">
        <v>1103960</v>
      </c>
      <c r="O39" s="79">
        <f>2.7*1.8</f>
        <v>4.8600000000000003</v>
      </c>
      <c r="P39" s="79">
        <f t="shared" si="0"/>
        <v>680400</v>
      </c>
      <c r="Q39" s="79">
        <f t="shared" si="1"/>
        <v>204120</v>
      </c>
      <c r="R39" s="79">
        <f t="shared" si="2"/>
        <v>219440</v>
      </c>
      <c r="S39" s="79">
        <f t="shared" si="3"/>
        <v>109720</v>
      </c>
      <c r="T39" s="80"/>
      <c r="U39" s="98">
        <f t="shared" si="4"/>
        <v>1103960</v>
      </c>
      <c r="V39" s="16">
        <v>1003600</v>
      </c>
    </row>
    <row r="40" spans="1:22" s="20" customFormat="1" ht="28.5" customHeight="1" x14ac:dyDescent="0.3">
      <c r="A40" s="12" t="s">
        <v>446</v>
      </c>
      <c r="B40" s="15" t="s">
        <v>420</v>
      </c>
      <c r="C40" s="15" t="s">
        <v>375</v>
      </c>
      <c r="D40" s="70">
        <v>10</v>
      </c>
      <c r="E40" s="45"/>
      <c r="F40" s="61"/>
      <c r="G40" s="45"/>
      <c r="H40" s="61"/>
      <c r="I40" s="44"/>
      <c r="J40" s="44"/>
      <c r="K40" s="61"/>
      <c r="L40" s="61"/>
      <c r="M40" s="18"/>
      <c r="N40" s="16">
        <v>646360</v>
      </c>
      <c r="O40" s="79">
        <f>1.65*2.1</f>
        <v>3.4649999999999999</v>
      </c>
      <c r="P40" s="79">
        <f t="shared" si="0"/>
        <v>485100</v>
      </c>
      <c r="Q40" s="79">
        <f t="shared" si="1"/>
        <v>145530</v>
      </c>
      <c r="R40" s="79">
        <f t="shared" si="2"/>
        <v>15730</v>
      </c>
      <c r="S40" s="79">
        <f t="shared" si="3"/>
        <v>7865</v>
      </c>
      <c r="T40" s="80"/>
      <c r="U40" s="98">
        <f t="shared" si="4"/>
        <v>646360</v>
      </c>
      <c r="V40" s="16">
        <v>587600</v>
      </c>
    </row>
    <row r="41" spans="1:22" s="20" customFormat="1" ht="28.5" customHeight="1" x14ac:dyDescent="0.3">
      <c r="A41" s="12" t="s">
        <v>447</v>
      </c>
      <c r="B41" s="15" t="s">
        <v>427</v>
      </c>
      <c r="C41" s="15" t="s">
        <v>375</v>
      </c>
      <c r="D41" s="70">
        <v>18</v>
      </c>
      <c r="E41" s="45"/>
      <c r="F41" s="61"/>
      <c r="G41" s="45"/>
      <c r="H41" s="61"/>
      <c r="I41" s="44"/>
      <c r="J41" s="44"/>
      <c r="K41" s="61"/>
      <c r="L41" s="61"/>
      <c r="M41" s="18"/>
      <c r="N41" s="16">
        <v>587730</v>
      </c>
      <c r="O41" s="79">
        <f>1.2*2.1</f>
        <v>2.52</v>
      </c>
      <c r="P41" s="79">
        <f t="shared" si="0"/>
        <v>352800</v>
      </c>
      <c r="Q41" s="79">
        <f t="shared" si="1"/>
        <v>105840</v>
      </c>
      <c r="R41" s="79">
        <f t="shared" si="2"/>
        <v>129090</v>
      </c>
      <c r="S41" s="79">
        <f t="shared" si="3"/>
        <v>64545</v>
      </c>
      <c r="T41" s="80"/>
      <c r="U41" s="98">
        <f t="shared" si="4"/>
        <v>587730</v>
      </c>
      <c r="V41" s="16">
        <v>534300</v>
      </c>
    </row>
    <row r="42" spans="1:22" s="20" customFormat="1" ht="28.5" customHeight="1" x14ac:dyDescent="0.3">
      <c r="A42" s="12" t="s">
        <v>448</v>
      </c>
      <c r="B42" s="15" t="s">
        <v>428</v>
      </c>
      <c r="C42" s="15" t="s">
        <v>375</v>
      </c>
      <c r="D42" s="70">
        <v>28</v>
      </c>
      <c r="E42" s="45"/>
      <c r="F42" s="61"/>
      <c r="G42" s="45"/>
      <c r="H42" s="61"/>
      <c r="I42" s="44"/>
      <c r="J42" s="44"/>
      <c r="K42" s="61"/>
      <c r="L42" s="61"/>
      <c r="M42" s="18"/>
      <c r="N42" s="16">
        <v>519090.00000000006</v>
      </c>
      <c r="O42" s="79">
        <f>0.9*2.1</f>
        <v>1.8900000000000001</v>
      </c>
      <c r="P42" s="79">
        <f t="shared" ref="P42:P44" si="8">$P$30*O42</f>
        <v>264600</v>
      </c>
      <c r="Q42" s="79">
        <f t="shared" si="1"/>
        <v>79380</v>
      </c>
      <c r="R42" s="79">
        <f t="shared" ref="R42:R44" si="9">N42-P42-Q42</f>
        <v>175110.00000000006</v>
      </c>
      <c r="S42" s="79">
        <f t="shared" si="3"/>
        <v>87555.000000000029</v>
      </c>
      <c r="T42" s="80"/>
      <c r="U42" s="98">
        <f t="shared" si="4"/>
        <v>519090.00000000006</v>
      </c>
      <c r="V42" s="16">
        <v>471900</v>
      </c>
    </row>
    <row r="43" spans="1:22" s="20" customFormat="1" ht="28.5" customHeight="1" x14ac:dyDescent="0.3">
      <c r="A43" s="12" t="s">
        <v>449</v>
      </c>
      <c r="B43" s="15" t="s">
        <v>426</v>
      </c>
      <c r="C43" s="15" t="s">
        <v>375</v>
      </c>
      <c r="D43" s="70">
        <v>14</v>
      </c>
      <c r="E43" s="45"/>
      <c r="F43" s="61"/>
      <c r="G43" s="45"/>
      <c r="H43" s="61"/>
      <c r="I43" s="44"/>
      <c r="J43" s="44"/>
      <c r="K43" s="61"/>
      <c r="L43" s="61"/>
      <c r="M43" s="18"/>
      <c r="N43" s="16">
        <v>494780.00000000006</v>
      </c>
      <c r="O43" s="79">
        <f>0.9*1.5</f>
        <v>1.35</v>
      </c>
      <c r="P43" s="79">
        <f t="shared" si="8"/>
        <v>189000</v>
      </c>
      <c r="Q43" s="79">
        <f t="shared" si="1"/>
        <v>56700</v>
      </c>
      <c r="R43" s="79">
        <f t="shared" si="9"/>
        <v>249080.00000000006</v>
      </c>
      <c r="S43" s="79">
        <f t="shared" si="3"/>
        <v>124540.00000000003</v>
      </c>
      <c r="T43" s="80"/>
      <c r="U43" s="98">
        <f t="shared" si="4"/>
        <v>494780.00000000006</v>
      </c>
      <c r="V43" s="16">
        <v>449800</v>
      </c>
    </row>
    <row r="44" spans="1:22" s="20" customFormat="1" ht="28.5" customHeight="1" x14ac:dyDescent="0.3">
      <c r="A44" s="12" t="s">
        <v>450</v>
      </c>
      <c r="B44" s="15" t="s">
        <v>425</v>
      </c>
      <c r="C44" s="15" t="s">
        <v>375</v>
      </c>
      <c r="D44" s="70">
        <v>6</v>
      </c>
      <c r="E44" s="45"/>
      <c r="F44" s="61"/>
      <c r="G44" s="45"/>
      <c r="H44" s="61"/>
      <c r="I44" s="44"/>
      <c r="J44" s="44"/>
      <c r="K44" s="61"/>
      <c r="L44" s="61"/>
      <c r="M44" s="18"/>
      <c r="N44" s="16">
        <v>1103960</v>
      </c>
      <c r="O44" s="79">
        <f>2.45*1.8</f>
        <v>4.41</v>
      </c>
      <c r="P44" s="79">
        <f t="shared" si="8"/>
        <v>617400</v>
      </c>
      <c r="Q44" s="79">
        <f t="shared" si="1"/>
        <v>185220</v>
      </c>
      <c r="R44" s="79">
        <f t="shared" si="9"/>
        <v>301340</v>
      </c>
      <c r="S44" s="79">
        <f t="shared" si="3"/>
        <v>150670</v>
      </c>
      <c r="T44" s="80"/>
      <c r="U44" s="98">
        <f t="shared" si="4"/>
        <v>1103960</v>
      </c>
      <c r="V44" s="16">
        <v>1003600</v>
      </c>
    </row>
    <row r="45" spans="1:22" s="20" customFormat="1" ht="28.5" customHeight="1" x14ac:dyDescent="0.3">
      <c r="A45" s="12" t="s">
        <v>451</v>
      </c>
      <c r="B45" s="15" t="s">
        <v>424</v>
      </c>
      <c r="C45" s="15" t="s">
        <v>375</v>
      </c>
      <c r="D45" s="70">
        <v>486</v>
      </c>
      <c r="E45" s="45"/>
      <c r="F45" s="44"/>
      <c r="G45" s="45"/>
      <c r="H45" s="44"/>
      <c r="I45" s="44"/>
      <c r="J45" s="44"/>
      <c r="K45" s="44"/>
      <c r="L45" s="44"/>
      <c r="M45" s="18"/>
      <c r="N45" s="16">
        <v>554840</v>
      </c>
      <c r="O45" s="79">
        <f>1.2*1.8</f>
        <v>2.16</v>
      </c>
      <c r="P45" s="76">
        <f>$P$30*O45</f>
        <v>302400</v>
      </c>
      <c r="Q45" s="76">
        <f t="shared" si="1"/>
        <v>90720</v>
      </c>
      <c r="R45" s="76">
        <f t="shared" si="2"/>
        <v>161720</v>
      </c>
      <c r="S45" s="76">
        <f t="shared" si="3"/>
        <v>80860</v>
      </c>
      <c r="T45" s="80"/>
      <c r="U45" s="98">
        <f t="shared" si="4"/>
        <v>554840</v>
      </c>
      <c r="V45" s="16">
        <v>504400</v>
      </c>
    </row>
    <row r="46" spans="1:22" s="20" customFormat="1" ht="28.5" customHeight="1" x14ac:dyDescent="0.3">
      <c r="A46" s="12" t="s">
        <v>452</v>
      </c>
      <c r="B46" s="15" t="s">
        <v>423</v>
      </c>
      <c r="C46" s="15" t="s">
        <v>375</v>
      </c>
      <c r="D46" s="70">
        <v>20</v>
      </c>
      <c r="E46" s="45"/>
      <c r="F46" s="44"/>
      <c r="G46" s="45"/>
      <c r="H46" s="44"/>
      <c r="I46" s="44"/>
      <c r="J46" s="44"/>
      <c r="K46" s="44"/>
      <c r="L46" s="44"/>
      <c r="M46" s="18"/>
      <c r="N46" s="16">
        <v>497640.00000000006</v>
      </c>
      <c r="O46" s="79">
        <f>0.9*1.8</f>
        <v>1.62</v>
      </c>
      <c r="P46" s="76">
        <f>$P$30*O46</f>
        <v>226800.00000000003</v>
      </c>
      <c r="Q46" s="76">
        <f t="shared" si="1"/>
        <v>68040</v>
      </c>
      <c r="R46" s="76">
        <f t="shared" si="2"/>
        <v>202800</v>
      </c>
      <c r="S46" s="76">
        <f t="shared" si="3"/>
        <v>101400</v>
      </c>
      <c r="T46" s="80"/>
      <c r="U46" s="98">
        <f t="shared" si="4"/>
        <v>497640.00000000006</v>
      </c>
      <c r="V46" s="16">
        <v>452400</v>
      </c>
    </row>
    <row r="47" spans="1:22" s="20" customFormat="1" ht="28.5" customHeight="1" x14ac:dyDescent="0.3">
      <c r="A47" s="12" t="s">
        <v>453</v>
      </c>
      <c r="B47" s="15" t="s">
        <v>422</v>
      </c>
      <c r="C47" s="15" t="s">
        <v>375</v>
      </c>
      <c r="D47" s="70">
        <v>20</v>
      </c>
      <c r="E47" s="45"/>
      <c r="F47" s="44"/>
      <c r="G47" s="45"/>
      <c r="H47" s="44"/>
      <c r="I47" s="44"/>
      <c r="J47" s="44"/>
      <c r="K47" s="44"/>
      <c r="L47" s="44"/>
      <c r="M47" s="18"/>
      <c r="N47" s="16">
        <v>577720</v>
      </c>
      <c r="O47" s="79">
        <f>1.9*1.2</f>
        <v>2.2799999999999998</v>
      </c>
      <c r="P47" s="76">
        <f>$P$30*O47</f>
        <v>319200</v>
      </c>
      <c r="Q47" s="76">
        <f t="shared" si="1"/>
        <v>95760</v>
      </c>
      <c r="R47" s="76">
        <f t="shared" si="2"/>
        <v>162760</v>
      </c>
      <c r="S47" s="76">
        <f t="shared" si="3"/>
        <v>81380</v>
      </c>
      <c r="T47" s="80"/>
      <c r="U47" s="98">
        <f t="shared" si="4"/>
        <v>577720</v>
      </c>
      <c r="V47" s="16">
        <v>525200</v>
      </c>
    </row>
    <row r="48" spans="1:22" s="20" customFormat="1" ht="28.5" customHeight="1" x14ac:dyDescent="0.3">
      <c r="A48" s="12" t="s">
        <v>454</v>
      </c>
      <c r="B48" s="15" t="s">
        <v>409</v>
      </c>
      <c r="C48" s="15" t="s">
        <v>375</v>
      </c>
      <c r="D48" s="70">
        <v>14</v>
      </c>
      <c r="E48" s="45"/>
      <c r="F48" s="44"/>
      <c r="G48" s="45"/>
      <c r="H48" s="44"/>
      <c r="I48" s="44"/>
      <c r="J48" s="44"/>
      <c r="K48" s="44"/>
      <c r="L48" s="44"/>
      <c r="M48" s="18"/>
      <c r="N48" s="16">
        <v>398970.00000000006</v>
      </c>
      <c r="O48" s="79">
        <f>1.2*0.9</f>
        <v>1.08</v>
      </c>
      <c r="P48" s="76">
        <f t="shared" ref="P48:P51" si="10">$P$30*O48</f>
        <v>151200</v>
      </c>
      <c r="Q48" s="76">
        <f t="shared" ref="Q48:Q51" si="11">P48*$Q$30</f>
        <v>45360</v>
      </c>
      <c r="R48" s="76">
        <f t="shared" ref="R48:R51" si="12">N48-P48-Q48</f>
        <v>202410.00000000006</v>
      </c>
      <c r="S48" s="76">
        <f t="shared" ref="S48:S51" si="13">$S$30*R48</f>
        <v>101205.00000000003</v>
      </c>
      <c r="T48" s="80"/>
      <c r="U48" s="98">
        <f t="shared" si="4"/>
        <v>398970.00000000006</v>
      </c>
      <c r="V48" s="16">
        <v>362700</v>
      </c>
    </row>
    <row r="49" spans="1:22" s="24" customFormat="1" ht="28.5" customHeight="1" x14ac:dyDescent="0.3">
      <c r="A49" s="12" t="s">
        <v>455</v>
      </c>
      <c r="B49" s="15" t="s">
        <v>430</v>
      </c>
      <c r="C49" s="15" t="s">
        <v>375</v>
      </c>
      <c r="D49" s="70">
        <v>4</v>
      </c>
      <c r="E49" s="45"/>
      <c r="F49" s="44"/>
      <c r="G49" s="45"/>
      <c r="H49" s="44"/>
      <c r="I49" s="44"/>
      <c r="J49" s="44"/>
      <c r="K49" s="44"/>
      <c r="L49" s="44"/>
      <c r="N49" s="74">
        <v>481910.00000000006</v>
      </c>
      <c r="O49" s="74">
        <f>1*1.8</f>
        <v>1.8</v>
      </c>
      <c r="P49" s="76">
        <f t="shared" si="10"/>
        <v>252000</v>
      </c>
      <c r="Q49" s="76">
        <f t="shared" si="11"/>
        <v>75600</v>
      </c>
      <c r="R49" s="76">
        <f t="shared" si="12"/>
        <v>154310.00000000006</v>
      </c>
      <c r="S49" s="76">
        <f t="shared" si="13"/>
        <v>77155.000000000029</v>
      </c>
      <c r="T49" s="73"/>
      <c r="U49" s="98">
        <f t="shared" si="4"/>
        <v>481910.00000000006</v>
      </c>
      <c r="V49" s="74">
        <v>438100</v>
      </c>
    </row>
    <row r="50" spans="1:22" s="24" customFormat="1" ht="28.5" customHeight="1" x14ac:dyDescent="0.3">
      <c r="A50" s="12" t="s">
        <v>456</v>
      </c>
      <c r="B50" s="24" t="s">
        <v>432</v>
      </c>
      <c r="C50" s="15" t="s">
        <v>375</v>
      </c>
      <c r="D50" s="70">
        <v>4</v>
      </c>
      <c r="E50" s="45"/>
      <c r="F50" s="44"/>
      <c r="G50" s="45"/>
      <c r="H50" s="44"/>
      <c r="I50" s="44"/>
      <c r="J50" s="44"/>
      <c r="K50" s="44"/>
      <c r="L50" s="44"/>
      <c r="N50" s="74">
        <v>439010.00000000006</v>
      </c>
      <c r="O50" s="74">
        <f>1*1.2</f>
        <v>1.2</v>
      </c>
      <c r="P50" s="76">
        <f t="shared" si="10"/>
        <v>168000</v>
      </c>
      <c r="Q50" s="76">
        <f t="shared" si="11"/>
        <v>50400</v>
      </c>
      <c r="R50" s="76">
        <f t="shared" si="12"/>
        <v>220610.00000000006</v>
      </c>
      <c r="S50" s="76">
        <f t="shared" si="13"/>
        <v>110305.00000000003</v>
      </c>
      <c r="T50" s="73"/>
      <c r="U50" s="98">
        <f t="shared" si="4"/>
        <v>439010.00000000006</v>
      </c>
      <c r="V50" s="74">
        <v>399100</v>
      </c>
    </row>
    <row r="51" spans="1:22" s="20" customFormat="1" ht="28.5" customHeight="1" x14ac:dyDescent="0.3">
      <c r="A51" s="12" t="s">
        <v>457</v>
      </c>
      <c r="B51" s="24" t="s">
        <v>433</v>
      </c>
      <c r="C51" s="15" t="s">
        <v>375</v>
      </c>
      <c r="D51" s="70">
        <v>3</v>
      </c>
      <c r="E51" s="45"/>
      <c r="F51" s="44"/>
      <c r="G51" s="45"/>
      <c r="H51" s="44"/>
      <c r="I51" s="44"/>
      <c r="J51" s="44"/>
      <c r="K51" s="44"/>
      <c r="L51" s="44"/>
      <c r="M51" s="18"/>
      <c r="N51" s="79">
        <v>565730</v>
      </c>
      <c r="O51" s="79">
        <f>1.8*1.2</f>
        <v>2.16</v>
      </c>
      <c r="P51" s="76">
        <f t="shared" si="10"/>
        <v>302400</v>
      </c>
      <c r="Q51" s="76">
        <f t="shared" si="11"/>
        <v>90720</v>
      </c>
      <c r="R51" s="76">
        <f t="shared" si="12"/>
        <v>172610</v>
      </c>
      <c r="S51" s="76">
        <f t="shared" si="13"/>
        <v>86305</v>
      </c>
      <c r="T51" s="80"/>
      <c r="U51" s="98">
        <f t="shared" si="4"/>
        <v>565730</v>
      </c>
      <c r="V51" s="79">
        <v>514300</v>
      </c>
    </row>
    <row r="52" spans="1:22" s="20" customFormat="1" ht="28.5" customHeight="1" x14ac:dyDescent="0.3">
      <c r="A52" s="34" t="s">
        <v>376</v>
      </c>
      <c r="B52" s="34" t="s">
        <v>378</v>
      </c>
      <c r="C52" s="34" t="s">
        <v>377</v>
      </c>
      <c r="D52" s="71">
        <v>15</v>
      </c>
      <c r="E52" s="17"/>
      <c r="F52" s="44"/>
      <c r="G52" s="17"/>
      <c r="H52" s="44"/>
      <c r="I52" s="17"/>
      <c r="J52" s="44"/>
      <c r="K52" s="44"/>
      <c r="L52" s="44"/>
      <c r="M52" s="72"/>
      <c r="N52" s="80"/>
      <c r="O52" s="80"/>
      <c r="P52" s="80"/>
      <c r="Q52" s="80"/>
      <c r="R52" s="80"/>
      <c r="S52" s="80"/>
      <c r="T52" s="80"/>
      <c r="U52" s="80"/>
    </row>
    <row r="53" spans="1:22" s="58" customFormat="1" ht="28.5" customHeight="1" x14ac:dyDescent="0.3">
      <c r="A53" s="54" t="s">
        <v>374</v>
      </c>
      <c r="B53" s="54"/>
      <c r="C53" s="54"/>
      <c r="D53" s="55"/>
      <c r="E53" s="56"/>
      <c r="F53" s="56"/>
      <c r="G53" s="56"/>
      <c r="H53" s="56"/>
      <c r="I53" s="56"/>
      <c r="J53" s="56"/>
      <c r="K53" s="56"/>
      <c r="L53" s="56"/>
      <c r="M53" s="54"/>
      <c r="N53" s="57"/>
      <c r="O53" s="82"/>
      <c r="P53" s="82"/>
      <c r="Q53" s="83"/>
      <c r="R53" s="82"/>
      <c r="S53" s="82"/>
      <c r="T53" s="57"/>
      <c r="U53" s="57"/>
    </row>
    <row r="54" spans="1:22" s="20" customFormat="1" ht="28.5" customHeight="1" x14ac:dyDescent="0.3">
      <c r="A54" s="36" t="s">
        <v>484</v>
      </c>
      <c r="B54" s="25"/>
      <c r="C54" s="26"/>
      <c r="D54" s="40"/>
      <c r="E54" s="17"/>
      <c r="F54" s="44"/>
      <c r="G54" s="17"/>
      <c r="H54" s="29"/>
      <c r="I54" s="17"/>
      <c r="J54" s="29"/>
      <c r="K54" s="29"/>
      <c r="L54" s="29"/>
      <c r="M54" s="18"/>
      <c r="N54" s="80"/>
      <c r="O54" s="84"/>
      <c r="P54" s="84"/>
      <c r="Q54" s="85"/>
      <c r="R54" s="84"/>
      <c r="S54" s="84"/>
      <c r="T54" s="80"/>
      <c r="U54" s="80"/>
    </row>
    <row r="55" spans="1:22" s="20" customFormat="1" ht="28.5" customHeight="1" x14ac:dyDescent="0.3">
      <c r="A55" s="12" t="s">
        <v>458</v>
      </c>
      <c r="B55" s="25" t="s">
        <v>379</v>
      </c>
      <c r="C55" s="37" t="s">
        <v>380</v>
      </c>
      <c r="D55" s="40">
        <f>O31*D31</f>
        <v>23.58</v>
      </c>
      <c r="E55" s="17"/>
      <c r="F55" s="44"/>
      <c r="G55" s="17"/>
      <c r="H55" s="44"/>
      <c r="I55" s="17"/>
      <c r="J55" s="44"/>
      <c r="K55" s="44"/>
      <c r="L55" s="44"/>
      <c r="M55" s="18"/>
      <c r="O55" s="47"/>
      <c r="P55" s="47"/>
      <c r="Q55" s="48"/>
      <c r="R55" s="47"/>
      <c r="S55" s="47"/>
    </row>
    <row r="56" spans="1:22" s="20" customFormat="1" ht="28.5" customHeight="1" x14ac:dyDescent="0.3">
      <c r="A56" s="12" t="s">
        <v>459</v>
      </c>
      <c r="B56" s="25" t="s">
        <v>379</v>
      </c>
      <c r="C56" s="37" t="s">
        <v>380</v>
      </c>
      <c r="D56" s="40">
        <f t="shared" ref="D56:D75" si="14">O32*D32</f>
        <v>11.025</v>
      </c>
      <c r="E56" s="17"/>
      <c r="F56" s="44"/>
      <c r="G56" s="17"/>
      <c r="H56" s="44"/>
      <c r="I56" s="17"/>
      <c r="J56" s="44"/>
      <c r="K56" s="44"/>
      <c r="L56" s="44"/>
      <c r="M56" s="18"/>
      <c r="O56" s="47"/>
      <c r="P56" s="47"/>
      <c r="Q56" s="48"/>
      <c r="R56" s="47"/>
      <c r="S56" s="47"/>
    </row>
    <row r="57" spans="1:22" s="20" customFormat="1" ht="28.5" customHeight="1" x14ac:dyDescent="0.3">
      <c r="A57" s="12" t="s">
        <v>460</v>
      </c>
      <c r="B57" s="25" t="s">
        <v>379</v>
      </c>
      <c r="C57" s="37" t="s">
        <v>380</v>
      </c>
      <c r="D57" s="40">
        <f t="shared" si="14"/>
        <v>5.49</v>
      </c>
      <c r="E57" s="17"/>
      <c r="F57" s="61"/>
      <c r="G57" s="17"/>
      <c r="H57" s="61"/>
      <c r="I57" s="17"/>
      <c r="J57" s="61"/>
      <c r="K57" s="61"/>
      <c r="L57" s="61"/>
      <c r="M57" s="18"/>
      <c r="O57" s="47"/>
      <c r="P57" s="47"/>
      <c r="Q57" s="62"/>
      <c r="R57" s="47"/>
      <c r="S57" s="47"/>
    </row>
    <row r="58" spans="1:22" s="20" customFormat="1" ht="28.5" customHeight="1" x14ac:dyDescent="0.3">
      <c r="A58" s="12" t="s">
        <v>461</v>
      </c>
      <c r="B58" s="25" t="s">
        <v>379</v>
      </c>
      <c r="C58" s="37" t="s">
        <v>380</v>
      </c>
      <c r="D58" s="40">
        <f t="shared" si="14"/>
        <v>5.625</v>
      </c>
      <c r="E58" s="17"/>
      <c r="F58" s="61"/>
      <c r="G58" s="17"/>
      <c r="H58" s="61"/>
      <c r="I58" s="17"/>
      <c r="J58" s="61"/>
      <c r="K58" s="61"/>
      <c r="L58" s="61"/>
      <c r="M58" s="18"/>
      <c r="O58" s="47"/>
      <c r="P58" s="47"/>
      <c r="Q58" s="62"/>
      <c r="R58" s="47"/>
      <c r="S58" s="47"/>
    </row>
    <row r="59" spans="1:22" s="20" customFormat="1" ht="28.5" customHeight="1" x14ac:dyDescent="0.3">
      <c r="A59" s="12" t="s">
        <v>462</v>
      </c>
      <c r="B59" s="25" t="s">
        <v>379</v>
      </c>
      <c r="C59" s="37" t="s">
        <v>380</v>
      </c>
      <c r="D59" s="40">
        <f t="shared" si="14"/>
        <v>4.4550000000000001</v>
      </c>
      <c r="E59" s="17"/>
      <c r="F59" s="61"/>
      <c r="G59" s="17"/>
      <c r="H59" s="61"/>
      <c r="I59" s="17"/>
      <c r="J59" s="61"/>
      <c r="K59" s="61"/>
      <c r="L59" s="61"/>
      <c r="M59" s="18"/>
      <c r="O59" s="47"/>
      <c r="P59" s="47"/>
      <c r="Q59" s="62"/>
      <c r="R59" s="47"/>
      <c r="S59" s="47"/>
    </row>
    <row r="60" spans="1:22" s="27" customFormat="1" ht="28.5" customHeight="1" x14ac:dyDescent="0.3">
      <c r="A60" s="12" t="s">
        <v>463</v>
      </c>
      <c r="B60" s="25" t="s">
        <v>379</v>
      </c>
      <c r="C60" s="37" t="s">
        <v>380</v>
      </c>
      <c r="D60" s="40">
        <f t="shared" si="14"/>
        <v>4.32</v>
      </c>
      <c r="E60" s="17"/>
      <c r="F60" s="44"/>
      <c r="G60" s="17"/>
      <c r="H60" s="44"/>
      <c r="I60" s="17"/>
      <c r="J60" s="44"/>
      <c r="K60" s="44"/>
      <c r="L60" s="44"/>
      <c r="M60" s="18"/>
      <c r="O60" s="39"/>
      <c r="P60" s="39"/>
      <c r="Q60" s="48"/>
      <c r="R60" s="39"/>
      <c r="S60" s="39"/>
    </row>
    <row r="61" spans="1:22" s="20" customFormat="1" ht="28.5" customHeight="1" x14ac:dyDescent="0.3">
      <c r="A61" s="12" t="s">
        <v>464</v>
      </c>
      <c r="B61" s="25" t="s">
        <v>379</v>
      </c>
      <c r="C61" s="37" t="s">
        <v>380</v>
      </c>
      <c r="D61" s="40">
        <f t="shared" si="14"/>
        <v>8.2799999999999994</v>
      </c>
      <c r="E61" s="17"/>
      <c r="F61" s="44"/>
      <c r="G61" s="17"/>
      <c r="H61" s="44"/>
      <c r="I61" s="17"/>
      <c r="J61" s="44"/>
      <c r="K61" s="44"/>
      <c r="L61" s="44"/>
      <c r="M61" s="18"/>
      <c r="O61" s="47"/>
      <c r="P61" s="47"/>
      <c r="Q61" s="48"/>
      <c r="R61" s="47"/>
      <c r="S61" s="47"/>
    </row>
    <row r="62" spans="1:22" s="20" customFormat="1" ht="28.5" customHeight="1" x14ac:dyDescent="0.3">
      <c r="A62" s="12" t="s">
        <v>465</v>
      </c>
      <c r="B62" s="25" t="s">
        <v>379</v>
      </c>
      <c r="C62" s="37" t="s">
        <v>380</v>
      </c>
      <c r="D62" s="40">
        <f t="shared" si="14"/>
        <v>4.32</v>
      </c>
      <c r="E62" s="17"/>
      <c r="F62" s="44"/>
      <c r="G62" s="17"/>
      <c r="H62" s="44"/>
      <c r="I62" s="17"/>
      <c r="J62" s="44"/>
      <c r="K62" s="44"/>
      <c r="L62" s="44"/>
      <c r="M62" s="18"/>
      <c r="O62" s="47"/>
      <c r="P62" s="47"/>
      <c r="Q62" s="47"/>
      <c r="R62" s="47"/>
      <c r="S62" s="47"/>
    </row>
    <row r="63" spans="1:22" s="20" customFormat="1" ht="28.5" customHeight="1" x14ac:dyDescent="0.3">
      <c r="A63" s="12" t="s">
        <v>466</v>
      </c>
      <c r="B63" s="25" t="s">
        <v>379</v>
      </c>
      <c r="C63" s="37" t="s">
        <v>380</v>
      </c>
      <c r="D63" s="40">
        <f t="shared" si="14"/>
        <v>150.66</v>
      </c>
      <c r="E63" s="17"/>
      <c r="F63" s="44"/>
      <c r="G63" s="17"/>
      <c r="H63" s="44"/>
      <c r="I63" s="17"/>
      <c r="J63" s="44"/>
      <c r="K63" s="44"/>
      <c r="L63" s="44"/>
      <c r="M63" s="18"/>
      <c r="O63" s="47"/>
      <c r="P63" s="47"/>
      <c r="Q63" s="47"/>
      <c r="R63" s="47"/>
      <c r="S63" s="47"/>
    </row>
    <row r="64" spans="1:22" s="20" customFormat="1" ht="28.5" customHeight="1" x14ac:dyDescent="0.3">
      <c r="A64" s="12" t="s">
        <v>467</v>
      </c>
      <c r="B64" s="25" t="s">
        <v>379</v>
      </c>
      <c r="C64" s="37" t="s">
        <v>380</v>
      </c>
      <c r="D64" s="40">
        <f t="shared" si="14"/>
        <v>34.65</v>
      </c>
      <c r="E64" s="17"/>
      <c r="F64" s="44"/>
      <c r="G64" s="17"/>
      <c r="H64" s="44"/>
      <c r="I64" s="17"/>
      <c r="J64" s="44"/>
      <c r="K64" s="44"/>
      <c r="L64" s="44"/>
      <c r="M64" s="18"/>
      <c r="O64" s="47"/>
      <c r="P64" s="47"/>
      <c r="Q64" s="47"/>
      <c r="R64" s="47"/>
      <c r="S64" s="47"/>
    </row>
    <row r="65" spans="1:19" s="20" customFormat="1" ht="28.5" customHeight="1" x14ac:dyDescent="0.3">
      <c r="A65" s="12" t="s">
        <v>468</v>
      </c>
      <c r="B65" s="25" t="s">
        <v>379</v>
      </c>
      <c r="C65" s="37" t="s">
        <v>380</v>
      </c>
      <c r="D65" s="40">
        <f t="shared" si="14"/>
        <v>45.36</v>
      </c>
      <c r="E65" s="17"/>
      <c r="F65" s="61"/>
      <c r="G65" s="17"/>
      <c r="H65" s="61"/>
      <c r="I65" s="17"/>
      <c r="J65" s="61"/>
      <c r="K65" s="61"/>
      <c r="L65" s="61"/>
      <c r="M65" s="18"/>
      <c r="O65" s="47"/>
      <c r="P65" s="47"/>
      <c r="Q65" s="47"/>
      <c r="R65" s="47"/>
      <c r="S65" s="47"/>
    </row>
    <row r="66" spans="1:19" s="20" customFormat="1" ht="28.5" customHeight="1" x14ac:dyDescent="0.3">
      <c r="A66" s="12" t="s">
        <v>469</v>
      </c>
      <c r="B66" s="25" t="s">
        <v>379</v>
      </c>
      <c r="C66" s="37" t="s">
        <v>380</v>
      </c>
      <c r="D66" s="40">
        <f t="shared" si="14"/>
        <v>52.92</v>
      </c>
      <c r="E66" s="17"/>
      <c r="F66" s="61"/>
      <c r="G66" s="17"/>
      <c r="H66" s="61"/>
      <c r="I66" s="17"/>
      <c r="J66" s="61"/>
      <c r="K66" s="61"/>
      <c r="L66" s="61"/>
      <c r="M66" s="18"/>
      <c r="O66" s="47"/>
      <c r="P66" s="47"/>
      <c r="Q66" s="47"/>
      <c r="R66" s="47"/>
      <c r="S66" s="47"/>
    </row>
    <row r="67" spans="1:19" s="20" customFormat="1" ht="28.5" customHeight="1" x14ac:dyDescent="0.3">
      <c r="A67" s="12" t="s">
        <v>470</v>
      </c>
      <c r="B67" s="25" t="s">
        <v>379</v>
      </c>
      <c r="C67" s="37" t="s">
        <v>380</v>
      </c>
      <c r="D67" s="40">
        <f t="shared" si="14"/>
        <v>18.900000000000002</v>
      </c>
      <c r="E67" s="17"/>
      <c r="F67" s="61"/>
      <c r="G67" s="17"/>
      <c r="H67" s="61"/>
      <c r="I67" s="17"/>
      <c r="J67" s="61"/>
      <c r="K67" s="61"/>
      <c r="L67" s="61"/>
      <c r="M67" s="18"/>
      <c r="O67" s="47"/>
      <c r="P67" s="47"/>
      <c r="Q67" s="47"/>
      <c r="R67" s="47"/>
      <c r="S67" s="47"/>
    </row>
    <row r="68" spans="1:19" s="20" customFormat="1" ht="28.5" customHeight="1" x14ac:dyDescent="0.3">
      <c r="A68" s="12" t="s">
        <v>471</v>
      </c>
      <c r="B68" s="25" t="s">
        <v>379</v>
      </c>
      <c r="C68" s="37" t="s">
        <v>380</v>
      </c>
      <c r="D68" s="40">
        <f t="shared" si="14"/>
        <v>26.46</v>
      </c>
      <c r="E68" s="17"/>
      <c r="F68" s="61"/>
      <c r="G68" s="17"/>
      <c r="H68" s="61"/>
      <c r="I68" s="17"/>
      <c r="J68" s="61"/>
      <c r="K68" s="61"/>
      <c r="L68" s="61"/>
      <c r="M68" s="18"/>
      <c r="O68" s="47"/>
      <c r="P68" s="47"/>
      <c r="Q68" s="47"/>
      <c r="R68" s="47"/>
      <c r="S68" s="47"/>
    </row>
    <row r="69" spans="1:19" s="20" customFormat="1" ht="28.5" customHeight="1" x14ac:dyDescent="0.3">
      <c r="A69" s="12" t="s">
        <v>472</v>
      </c>
      <c r="B69" s="25" t="s">
        <v>379</v>
      </c>
      <c r="C69" s="37" t="s">
        <v>380</v>
      </c>
      <c r="D69" s="40">
        <f t="shared" si="14"/>
        <v>1049.76</v>
      </c>
      <c r="E69" s="17"/>
      <c r="F69" s="44"/>
      <c r="G69" s="17"/>
      <c r="H69" s="44"/>
      <c r="I69" s="17"/>
      <c r="J69" s="44"/>
      <c r="K69" s="44"/>
      <c r="L69" s="44"/>
      <c r="M69" s="18"/>
      <c r="O69" s="47"/>
      <c r="P69" s="47"/>
      <c r="Q69" s="47"/>
      <c r="R69" s="47"/>
      <c r="S69" s="47"/>
    </row>
    <row r="70" spans="1:19" s="20" customFormat="1" ht="28.5" customHeight="1" x14ac:dyDescent="0.3">
      <c r="A70" s="12" t="s">
        <v>473</v>
      </c>
      <c r="B70" s="25" t="s">
        <v>379</v>
      </c>
      <c r="C70" s="37" t="s">
        <v>380</v>
      </c>
      <c r="D70" s="40">
        <f t="shared" si="14"/>
        <v>32.400000000000006</v>
      </c>
      <c r="E70" s="17"/>
      <c r="F70" s="44"/>
      <c r="G70" s="17"/>
      <c r="H70" s="44"/>
      <c r="I70" s="17"/>
      <c r="J70" s="44"/>
      <c r="K70" s="44"/>
      <c r="L70" s="44"/>
      <c r="M70" s="18"/>
      <c r="O70" s="47"/>
      <c r="P70" s="47"/>
      <c r="Q70" s="47"/>
      <c r="R70" s="47"/>
      <c r="S70" s="47"/>
    </row>
    <row r="71" spans="1:19" s="20" customFormat="1" ht="28.5" customHeight="1" x14ac:dyDescent="0.3">
      <c r="A71" s="12" t="s">
        <v>474</v>
      </c>
      <c r="B71" s="25" t="s">
        <v>379</v>
      </c>
      <c r="C71" s="37" t="s">
        <v>380</v>
      </c>
      <c r="D71" s="40">
        <f t="shared" si="14"/>
        <v>45.599999999999994</v>
      </c>
      <c r="E71" s="17"/>
      <c r="F71" s="44"/>
      <c r="G71" s="17"/>
      <c r="H71" s="44"/>
      <c r="I71" s="17"/>
      <c r="J71" s="44"/>
      <c r="K71" s="44"/>
      <c r="L71" s="44"/>
      <c r="M71" s="18"/>
      <c r="O71" s="47"/>
      <c r="P71" s="47"/>
      <c r="Q71" s="47"/>
      <c r="R71" s="47"/>
      <c r="S71" s="47"/>
    </row>
    <row r="72" spans="1:19" s="20" customFormat="1" ht="28.5" customHeight="1" x14ac:dyDescent="0.3">
      <c r="A72" s="12" t="s">
        <v>475</v>
      </c>
      <c r="B72" s="25" t="s">
        <v>479</v>
      </c>
      <c r="C72" s="37" t="s">
        <v>380</v>
      </c>
      <c r="D72" s="40">
        <f t="shared" si="14"/>
        <v>15.120000000000001</v>
      </c>
      <c r="E72" s="17"/>
      <c r="F72" s="44"/>
      <c r="G72" s="17"/>
      <c r="H72" s="44"/>
      <c r="I72" s="17"/>
      <c r="J72" s="44"/>
      <c r="K72" s="44"/>
      <c r="L72" s="44"/>
      <c r="M72" s="18"/>
      <c r="O72" s="47"/>
      <c r="P72" s="47"/>
      <c r="Q72" s="47"/>
      <c r="R72" s="47"/>
      <c r="S72" s="47"/>
    </row>
    <row r="73" spans="1:19" s="20" customFormat="1" ht="28.5" customHeight="1" x14ac:dyDescent="0.3">
      <c r="A73" s="12" t="s">
        <v>476</v>
      </c>
      <c r="B73" s="25" t="s">
        <v>480</v>
      </c>
      <c r="C73" s="37" t="s">
        <v>380</v>
      </c>
      <c r="D73" s="40">
        <f t="shared" si="14"/>
        <v>7.2</v>
      </c>
      <c r="E73" s="17"/>
      <c r="F73" s="44"/>
      <c r="G73" s="17"/>
      <c r="H73" s="44"/>
      <c r="I73" s="17"/>
      <c r="J73" s="44"/>
      <c r="K73" s="44"/>
      <c r="L73" s="44"/>
      <c r="M73" s="18"/>
      <c r="O73" s="47"/>
      <c r="P73" s="47"/>
      <c r="Q73" s="47"/>
      <c r="R73" s="47"/>
      <c r="S73" s="47"/>
    </row>
    <row r="74" spans="1:19" s="20" customFormat="1" ht="28.5" customHeight="1" x14ac:dyDescent="0.3">
      <c r="A74" s="12" t="s">
        <v>477</v>
      </c>
      <c r="B74" s="25" t="s">
        <v>481</v>
      </c>
      <c r="C74" s="37" t="s">
        <v>380</v>
      </c>
      <c r="D74" s="40">
        <f t="shared" si="14"/>
        <v>4.8</v>
      </c>
      <c r="E74" s="17"/>
      <c r="F74" s="44"/>
      <c r="G74" s="17"/>
      <c r="H74" s="44"/>
      <c r="I74" s="17"/>
      <c r="J74" s="44"/>
      <c r="K74" s="44"/>
      <c r="L74" s="44"/>
      <c r="M74" s="18"/>
      <c r="O74" s="47"/>
      <c r="P74" s="47"/>
      <c r="Q74" s="47"/>
      <c r="R74" s="47"/>
      <c r="S74" s="47"/>
    </row>
    <row r="75" spans="1:19" s="20" customFormat="1" ht="28.5" customHeight="1" x14ac:dyDescent="0.3">
      <c r="A75" s="12" t="s">
        <v>478</v>
      </c>
      <c r="B75" s="25" t="s">
        <v>482</v>
      </c>
      <c r="C75" s="37" t="s">
        <v>380</v>
      </c>
      <c r="D75" s="40">
        <f t="shared" si="14"/>
        <v>6.48</v>
      </c>
      <c r="E75" s="17"/>
      <c r="F75" s="44"/>
      <c r="G75" s="17"/>
      <c r="H75" s="44"/>
      <c r="I75" s="17"/>
      <c r="J75" s="44"/>
      <c r="K75" s="44"/>
      <c r="L75" s="44"/>
      <c r="M75" s="18"/>
      <c r="O75" s="47"/>
      <c r="P75" s="47"/>
      <c r="Q75" s="47"/>
      <c r="R75" s="47"/>
      <c r="S75" s="47"/>
    </row>
    <row r="76" spans="1:19" s="20" customFormat="1" ht="28.5" customHeight="1" x14ac:dyDescent="0.3">
      <c r="A76" s="15" t="s">
        <v>376</v>
      </c>
      <c r="B76" s="15"/>
      <c r="C76" s="22" t="s">
        <v>377</v>
      </c>
      <c r="D76" s="40">
        <v>15</v>
      </c>
      <c r="E76" s="17"/>
      <c r="F76" s="44"/>
      <c r="G76" s="17"/>
      <c r="H76" s="44"/>
      <c r="I76" s="17"/>
      <c r="J76" s="44"/>
      <c r="K76" s="44"/>
      <c r="L76" s="44"/>
      <c r="M76" s="18"/>
      <c r="O76" s="68">
        <f>SUM(D31:D47)</f>
        <v>650</v>
      </c>
      <c r="P76" s="47"/>
      <c r="Q76" s="47"/>
      <c r="R76" s="47"/>
      <c r="S76" s="47"/>
    </row>
    <row r="77" spans="1:19" s="58" customFormat="1" ht="28.5" customHeight="1" x14ac:dyDescent="0.3">
      <c r="A77" s="54" t="s">
        <v>374</v>
      </c>
      <c r="B77" s="54"/>
      <c r="C77" s="54"/>
      <c r="D77" s="55"/>
      <c r="E77" s="56"/>
      <c r="F77" s="56"/>
      <c r="G77" s="56"/>
      <c r="H77" s="56"/>
      <c r="I77" s="56"/>
      <c r="J77" s="56"/>
      <c r="K77" s="56"/>
      <c r="L77" s="56"/>
      <c r="M77" s="54"/>
      <c r="O77" s="59"/>
      <c r="P77" s="59"/>
      <c r="Q77" s="59"/>
      <c r="R77" s="59"/>
      <c r="S77" s="59"/>
    </row>
    <row r="78" spans="1:19" s="20" customFormat="1" ht="28.5" customHeight="1" x14ac:dyDescent="0.3">
      <c r="A78" s="46" t="s">
        <v>485</v>
      </c>
      <c r="B78" s="15"/>
      <c r="C78" s="22"/>
      <c r="D78" s="40"/>
      <c r="E78" s="17"/>
      <c r="F78" s="29"/>
      <c r="G78" s="17"/>
      <c r="H78" s="29"/>
      <c r="I78" s="17"/>
      <c r="J78" s="29"/>
      <c r="K78" s="29"/>
      <c r="L78" s="29"/>
      <c r="M78" s="18"/>
    </row>
    <row r="79" spans="1:19" s="20" customFormat="1" ht="28.5" customHeight="1" x14ac:dyDescent="0.3">
      <c r="A79" s="22" t="s">
        <v>392</v>
      </c>
      <c r="B79" s="13" t="s">
        <v>424</v>
      </c>
      <c r="C79" s="22" t="s">
        <v>375</v>
      </c>
      <c r="D79" s="16">
        <v>64</v>
      </c>
      <c r="E79" s="29"/>
      <c r="F79" s="44"/>
      <c r="G79" s="29"/>
      <c r="H79" s="44"/>
      <c r="I79" s="29"/>
      <c r="J79" s="44"/>
      <c r="K79" s="44"/>
      <c r="L79" s="44"/>
      <c r="M79" s="18"/>
    </row>
    <row r="80" spans="1:19" s="20" customFormat="1" ht="28.5" customHeight="1" x14ac:dyDescent="0.3">
      <c r="A80" s="22" t="s">
        <v>392</v>
      </c>
      <c r="B80" s="13" t="s">
        <v>410</v>
      </c>
      <c r="C80" s="11" t="s">
        <v>375</v>
      </c>
      <c r="D80" s="41">
        <v>10</v>
      </c>
      <c r="E80" s="29"/>
      <c r="F80" s="44"/>
      <c r="G80" s="29"/>
      <c r="H80" s="44"/>
      <c r="I80" s="29"/>
      <c r="J80" s="44"/>
      <c r="K80" s="44"/>
      <c r="L80" s="44"/>
      <c r="M80" s="18"/>
      <c r="N80" s="20">
        <v>119000</v>
      </c>
      <c r="O80" s="60">
        <v>1.2</v>
      </c>
    </row>
    <row r="81" spans="1:14" s="20" customFormat="1" ht="28.5" customHeight="1" x14ac:dyDescent="0.3">
      <c r="A81" s="22" t="s">
        <v>392</v>
      </c>
      <c r="B81" s="13" t="s">
        <v>423</v>
      </c>
      <c r="C81" s="11" t="s">
        <v>375</v>
      </c>
      <c r="D81" s="41">
        <v>6</v>
      </c>
      <c r="E81" s="29"/>
      <c r="F81" s="44"/>
      <c r="G81" s="29"/>
      <c r="H81" s="44"/>
      <c r="I81" s="29"/>
      <c r="J81" s="44"/>
      <c r="K81" s="44"/>
      <c r="L81" s="44"/>
      <c r="M81" s="18"/>
      <c r="N81" s="20">
        <v>103000</v>
      </c>
    </row>
    <row r="82" spans="1:14" s="20" customFormat="1" ht="28.5" customHeight="1" x14ac:dyDescent="0.3">
      <c r="A82" s="15" t="s">
        <v>547</v>
      </c>
      <c r="B82" s="15" t="s">
        <v>551</v>
      </c>
      <c r="C82" s="37" t="s">
        <v>391</v>
      </c>
      <c r="D82" s="92">
        <v>1</v>
      </c>
      <c r="E82" s="17"/>
      <c r="F82" s="44"/>
      <c r="G82" s="29"/>
      <c r="H82" s="44"/>
      <c r="I82" s="29"/>
      <c r="J82" s="44"/>
      <c r="K82" s="44"/>
      <c r="L82" s="44"/>
      <c r="M82" s="18"/>
    </row>
    <row r="83" spans="1:14" s="20" customFormat="1" ht="28.5" customHeight="1" x14ac:dyDescent="0.3">
      <c r="A83" s="22" t="s">
        <v>549</v>
      </c>
      <c r="B83" s="13" t="s">
        <v>548</v>
      </c>
      <c r="C83" s="22" t="s">
        <v>391</v>
      </c>
      <c r="D83" s="16">
        <v>1</v>
      </c>
      <c r="E83" s="29"/>
      <c r="F83" s="44"/>
      <c r="G83" s="29"/>
      <c r="H83" s="44"/>
      <c r="I83" s="29"/>
      <c r="J83" s="44"/>
      <c r="K83" s="44"/>
      <c r="L83" s="44"/>
      <c r="M83" s="18"/>
    </row>
    <row r="84" spans="1:14" s="53" customFormat="1" ht="28.5" customHeight="1" x14ac:dyDescent="0.3">
      <c r="A84" s="49" t="s">
        <v>374</v>
      </c>
      <c r="B84" s="49"/>
      <c r="C84" s="49"/>
      <c r="D84" s="50"/>
      <c r="E84" s="51"/>
      <c r="F84" s="51"/>
      <c r="G84" s="51"/>
      <c r="H84" s="51"/>
      <c r="I84" s="51"/>
      <c r="J84" s="51"/>
      <c r="K84" s="51"/>
      <c r="L84" s="51"/>
      <c r="M84" s="51">
        <f t="shared" ref="J84:M84" si="15">SUM(M79:M83)</f>
        <v>0</v>
      </c>
    </row>
    <row r="85" spans="1:14" s="20" customFormat="1" ht="28.5" customHeight="1" x14ac:dyDescent="0.3">
      <c r="A85" s="46" t="s">
        <v>488</v>
      </c>
      <c r="B85" s="15" t="s">
        <v>382</v>
      </c>
      <c r="C85" s="22" t="s">
        <v>385</v>
      </c>
      <c r="D85" s="40">
        <v>90</v>
      </c>
      <c r="E85" s="17"/>
      <c r="F85" s="29"/>
      <c r="G85" s="17"/>
      <c r="H85" s="29"/>
      <c r="I85" s="17"/>
      <c r="J85" s="44"/>
      <c r="K85" s="44"/>
      <c r="L85" s="44"/>
      <c r="M85" s="18"/>
    </row>
    <row r="86" spans="1:14" s="20" customFormat="1" ht="28.5" customHeight="1" x14ac:dyDescent="0.3">
      <c r="A86" s="28"/>
      <c r="B86" s="15"/>
      <c r="C86" s="15"/>
      <c r="D86" s="16"/>
      <c r="E86" s="17"/>
      <c r="F86" s="29"/>
      <c r="G86" s="29"/>
      <c r="H86" s="29"/>
      <c r="I86" s="29"/>
      <c r="J86" s="29"/>
      <c r="K86" s="29"/>
      <c r="L86" s="29"/>
      <c r="M86" s="18"/>
    </row>
    <row r="87" spans="1:14" s="20" customFormat="1" ht="28.5" customHeight="1" x14ac:dyDescent="0.3">
      <c r="A87" s="21"/>
      <c r="B87" s="15"/>
      <c r="C87" s="15"/>
      <c r="D87" s="16"/>
      <c r="E87" s="17"/>
      <c r="F87" s="17"/>
      <c r="G87" s="17"/>
      <c r="H87" s="17"/>
      <c r="I87" s="17"/>
      <c r="J87" s="17"/>
      <c r="K87" s="17"/>
      <c r="L87" s="17"/>
      <c r="M87" s="18"/>
    </row>
    <row r="88" spans="1:14" s="20" customFormat="1" ht="28.5" customHeight="1" x14ac:dyDescent="0.3">
      <c r="A88" s="21"/>
      <c r="B88" s="15"/>
      <c r="C88" s="18"/>
      <c r="D88" s="17"/>
      <c r="E88" s="17"/>
      <c r="F88" s="17"/>
      <c r="G88" s="17"/>
      <c r="H88" s="17"/>
      <c r="I88" s="17"/>
      <c r="J88" s="17"/>
      <c r="K88" s="17"/>
      <c r="L88" s="17"/>
      <c r="M88" s="18"/>
    </row>
    <row r="89" spans="1:14" s="20" customFormat="1" ht="28.5" customHeight="1" x14ac:dyDescent="0.3">
      <c r="A89" s="22"/>
      <c r="B89" s="22"/>
      <c r="C89" s="22"/>
      <c r="D89" s="29"/>
      <c r="E89" s="29"/>
      <c r="F89" s="29"/>
      <c r="G89" s="29"/>
      <c r="H89" s="29"/>
      <c r="I89" s="29"/>
      <c r="J89" s="29"/>
      <c r="K89" s="29"/>
      <c r="L89" s="29"/>
      <c r="M89" s="18"/>
    </row>
    <row r="90" spans="1:14" s="20" customFormat="1" ht="28.5" customHeight="1" x14ac:dyDescent="0.3">
      <c r="A90" s="22"/>
      <c r="B90" s="22"/>
      <c r="C90" s="22"/>
      <c r="D90" s="29"/>
      <c r="E90" s="29"/>
      <c r="F90" s="29"/>
      <c r="G90" s="29"/>
      <c r="H90" s="29"/>
      <c r="I90" s="29"/>
      <c r="J90" s="29"/>
      <c r="K90" s="29"/>
      <c r="L90" s="29"/>
      <c r="M90" s="18"/>
    </row>
    <row r="91" spans="1:14" s="20" customFormat="1" ht="28.5" customHeight="1" x14ac:dyDescent="0.3">
      <c r="A91" s="22"/>
      <c r="B91" s="22"/>
      <c r="C91" s="22"/>
      <c r="D91" s="29"/>
      <c r="E91" s="29"/>
      <c r="F91" s="29"/>
      <c r="G91" s="29"/>
      <c r="H91" s="29"/>
      <c r="I91" s="29"/>
      <c r="J91" s="29"/>
      <c r="K91" s="29"/>
      <c r="L91" s="29"/>
      <c r="M91" s="18"/>
    </row>
    <row r="92" spans="1:14" s="20" customFormat="1" ht="28.5" customHeight="1" x14ac:dyDescent="0.3">
      <c r="A92" s="18"/>
      <c r="B92" s="18"/>
      <c r="C92" s="18"/>
      <c r="D92" s="30"/>
      <c r="E92" s="17"/>
      <c r="F92" s="17"/>
      <c r="G92" s="17"/>
      <c r="H92" s="17"/>
      <c r="I92" s="17"/>
      <c r="J92" s="17"/>
      <c r="K92" s="17"/>
      <c r="L92" s="17"/>
      <c r="M92" s="18"/>
    </row>
    <row r="93" spans="1:14" s="20" customFormat="1" ht="28.5" customHeight="1" x14ac:dyDescent="0.3">
      <c r="A93" s="21"/>
      <c r="B93" s="15"/>
      <c r="C93" s="15"/>
      <c r="D93" s="16"/>
      <c r="E93" s="17"/>
      <c r="F93" s="17"/>
      <c r="G93" s="17"/>
      <c r="H93" s="17"/>
      <c r="I93" s="17"/>
      <c r="J93" s="17"/>
      <c r="K93" s="17"/>
      <c r="L93" s="17"/>
      <c r="M93" s="18"/>
    </row>
    <row r="94" spans="1:14" s="20" customFormat="1" ht="28.5" customHeight="1" x14ac:dyDescent="0.3">
      <c r="A94" s="15"/>
      <c r="B94" s="15"/>
      <c r="C94" s="22"/>
      <c r="D94" s="16"/>
      <c r="E94" s="17"/>
      <c r="F94" s="17"/>
      <c r="G94" s="17"/>
      <c r="H94" s="17"/>
      <c r="I94" s="17"/>
      <c r="J94" s="17"/>
      <c r="K94" s="29"/>
      <c r="L94" s="29"/>
      <c r="M94" s="18"/>
    </row>
    <row r="95" spans="1:14" s="20" customFormat="1" ht="28.5" customHeight="1" x14ac:dyDescent="0.3">
      <c r="A95" s="15"/>
      <c r="B95" s="15"/>
      <c r="C95" s="15"/>
      <c r="D95" s="16"/>
      <c r="E95" s="17"/>
      <c r="F95" s="17"/>
      <c r="G95" s="17"/>
      <c r="H95" s="17"/>
      <c r="I95" s="17"/>
      <c r="J95" s="17"/>
      <c r="K95" s="29"/>
      <c r="L95" s="29"/>
      <c r="M95" s="18"/>
    </row>
    <row r="96" spans="1:14" s="20" customFormat="1" ht="28.5" customHeight="1" x14ac:dyDescent="0.3">
      <c r="A96" s="18"/>
      <c r="B96" s="18"/>
      <c r="C96" s="18"/>
      <c r="D96" s="30"/>
      <c r="E96" s="17"/>
      <c r="F96" s="17"/>
      <c r="G96" s="17"/>
      <c r="H96" s="17"/>
      <c r="I96" s="17"/>
      <c r="J96" s="17"/>
      <c r="K96" s="17"/>
      <c r="L96" s="17"/>
      <c r="M96" s="18"/>
    </row>
    <row r="97" spans="1:13" s="20" customFormat="1" ht="28.5" customHeight="1" x14ac:dyDescent="0.3">
      <c r="A97" s="21"/>
      <c r="B97" s="15"/>
      <c r="C97" s="15"/>
      <c r="D97" s="16"/>
      <c r="E97" s="17"/>
      <c r="F97" s="17"/>
      <c r="G97" s="17"/>
      <c r="H97" s="17"/>
      <c r="I97" s="17"/>
      <c r="J97" s="17"/>
      <c r="K97" s="29"/>
      <c r="L97" s="29"/>
      <c r="M97" s="18"/>
    </row>
    <row r="98" spans="1:13" s="20" customFormat="1" ht="28.5" customHeight="1" x14ac:dyDescent="0.3">
      <c r="A98" s="15"/>
      <c r="B98" s="15"/>
      <c r="C98" s="22"/>
      <c r="D98" s="16"/>
      <c r="E98" s="17"/>
      <c r="F98" s="29"/>
      <c r="G98" s="17"/>
      <c r="H98" s="29"/>
      <c r="I98" s="17"/>
      <c r="J98" s="29"/>
      <c r="K98" s="29"/>
      <c r="L98" s="29"/>
      <c r="M98" s="18"/>
    </row>
    <row r="99" spans="1:13" s="20" customFormat="1" ht="28.5" customHeight="1" x14ac:dyDescent="0.3">
      <c r="A99" s="15"/>
      <c r="B99" s="15"/>
      <c r="C99" s="22"/>
      <c r="D99" s="16"/>
      <c r="E99" s="17"/>
      <c r="F99" s="29"/>
      <c r="G99" s="17"/>
      <c r="H99" s="29"/>
      <c r="I99" s="17"/>
      <c r="J99" s="29"/>
      <c r="K99" s="29"/>
      <c r="L99" s="29"/>
      <c r="M99" s="18"/>
    </row>
    <row r="100" spans="1:13" s="20" customFormat="1" ht="28.5" customHeight="1" x14ac:dyDescent="0.3">
      <c r="A100" s="22"/>
      <c r="B100" s="22"/>
      <c r="C100" s="22"/>
      <c r="D100" s="16"/>
      <c r="E100" s="29"/>
      <c r="F100" s="29"/>
      <c r="G100" s="29"/>
      <c r="H100" s="29"/>
      <c r="I100" s="29"/>
      <c r="J100" s="29"/>
      <c r="K100" s="29"/>
      <c r="L100" s="29"/>
      <c r="M100" s="18"/>
    </row>
    <row r="101" spans="1:13" s="20" customFormat="1" ht="28.5" customHeight="1" x14ac:dyDescent="0.3">
      <c r="A101" s="22"/>
      <c r="B101" s="22"/>
      <c r="C101" s="22"/>
      <c r="D101" s="16"/>
      <c r="E101" s="23"/>
      <c r="F101" s="23"/>
      <c r="G101" s="23"/>
      <c r="H101" s="23"/>
      <c r="I101" s="23"/>
      <c r="J101" s="23"/>
      <c r="K101" s="23"/>
      <c r="L101" s="23"/>
      <c r="M101" s="18"/>
    </row>
    <row r="102" spans="1:13" s="20" customFormat="1" ht="28.5" customHeight="1" x14ac:dyDescent="0.3">
      <c r="A102" s="15"/>
      <c r="B102" s="15"/>
      <c r="C102" s="22"/>
      <c r="D102" s="16"/>
      <c r="E102" s="17"/>
      <c r="F102" s="23"/>
      <c r="G102" s="17"/>
      <c r="H102" s="23"/>
      <c r="I102" s="17"/>
      <c r="J102" s="23"/>
      <c r="K102" s="23"/>
      <c r="L102" s="23"/>
      <c r="M102" s="18"/>
    </row>
    <row r="103" spans="1:13" s="20" customFormat="1" ht="28.5" customHeight="1" x14ac:dyDescent="0.3">
      <c r="A103" s="28"/>
      <c r="B103" s="15"/>
      <c r="C103" s="15"/>
      <c r="D103" s="16"/>
      <c r="E103" s="17"/>
      <c r="F103" s="23"/>
      <c r="G103" s="23"/>
      <c r="H103" s="23"/>
      <c r="I103" s="23"/>
      <c r="J103" s="23"/>
      <c r="K103" s="23"/>
      <c r="L103" s="23"/>
      <c r="M103" s="18"/>
    </row>
    <row r="104" spans="1:13" s="20" customFormat="1" ht="28.5" customHeight="1" x14ac:dyDescent="0.3">
      <c r="A104" s="19"/>
      <c r="B104" s="19"/>
      <c r="C104" s="19"/>
      <c r="D104" s="31"/>
      <c r="E104" s="32"/>
      <c r="F104" s="31"/>
      <c r="G104" s="32"/>
      <c r="H104" s="31"/>
      <c r="I104" s="32"/>
      <c r="J104" s="31"/>
      <c r="K104" s="32"/>
      <c r="L104" s="31"/>
      <c r="M104" s="19"/>
    </row>
    <row r="105" spans="1:13" s="20" customFormat="1" ht="28.5" customHeight="1" x14ac:dyDescent="0.3">
      <c r="A105" s="19"/>
      <c r="B105" s="19"/>
      <c r="C105" s="19"/>
      <c r="D105" s="19"/>
      <c r="E105" s="33"/>
      <c r="F105" s="31"/>
      <c r="G105" s="31"/>
      <c r="H105" s="31"/>
      <c r="I105" s="31"/>
      <c r="J105" s="31"/>
      <c r="K105" s="31"/>
      <c r="L105" s="31"/>
      <c r="M105" s="19"/>
    </row>
  </sheetData>
  <mergeCells count="11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6" type="noConversion"/>
  <pageMargins left="0.51181102362204722" right="0.39370078740157483" top="0.47244094488188981" bottom="0.23622047244094491" header="0" footer="0.19685039370078741"/>
  <pageSetup paperSize="9" scale="64" fitToHeight="0" orientation="landscape" r:id="rId1"/>
  <headerFooter>
    <oddFooter>&amp;N페이지 중 &amp;P페이지</oddFooter>
  </headerFooter>
  <rowBreaks count="4" manualBreakCount="4">
    <brk id="29" max="12" man="1"/>
    <brk id="53" max="12" man="1"/>
    <brk id="77" max="12" man="1"/>
    <brk id="10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1B4E0-F8B8-441D-B754-5035FAE7F67C}">
  <sheetPr>
    <outlinePr summaryBelow="0"/>
    <pageSetUpPr fitToPage="1"/>
  </sheetPr>
  <dimension ref="A1:V85"/>
  <sheetViews>
    <sheetView view="pageBreakPreview" topLeftCell="A25" zoomScale="70" zoomScaleNormal="100" zoomScaleSheetLayoutView="70" workbookViewId="0">
      <selection activeCell="J28" sqref="J28"/>
    </sheetView>
  </sheetViews>
  <sheetFormatPr defaultColWidth="9.125"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14" width="13" hidden="1" customWidth="1"/>
    <col min="15" max="15" width="9.125" hidden="1" customWidth="1"/>
    <col min="16" max="16" width="13" hidden="1" customWidth="1"/>
    <col min="17" max="18" width="11.5" hidden="1" customWidth="1"/>
    <col min="19" max="19" width="12.625" hidden="1" customWidth="1"/>
    <col min="20" max="20" width="9.125" hidden="1" customWidth="1"/>
  </cols>
  <sheetData>
    <row r="1" spans="1:13" ht="30" customHeight="1" x14ac:dyDescent="0.3">
      <c r="A1" s="102" t="s">
        <v>322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</row>
    <row r="2" spans="1:13" ht="28.5" customHeight="1" x14ac:dyDescent="0.3">
      <c r="A2" s="103" t="s">
        <v>394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</row>
    <row r="3" spans="1:13" ht="28.5" customHeight="1" x14ac:dyDescent="0.3">
      <c r="A3" s="111" t="s">
        <v>234</v>
      </c>
      <c r="B3" s="111" t="s">
        <v>132</v>
      </c>
      <c r="C3" s="111" t="s">
        <v>22</v>
      </c>
      <c r="D3" s="111" t="s">
        <v>297</v>
      </c>
      <c r="E3" s="104" t="s">
        <v>30</v>
      </c>
      <c r="F3" s="106"/>
      <c r="G3" s="104" t="s">
        <v>170</v>
      </c>
      <c r="H3" s="106"/>
      <c r="I3" s="104" t="s">
        <v>100</v>
      </c>
      <c r="J3" s="106"/>
      <c r="K3" s="104" t="s">
        <v>220</v>
      </c>
      <c r="L3" s="106"/>
      <c r="M3" s="111" t="s">
        <v>282</v>
      </c>
    </row>
    <row r="4" spans="1:13" ht="28.5" customHeight="1" x14ac:dyDescent="0.3">
      <c r="A4" s="112"/>
      <c r="B4" s="112"/>
      <c r="C4" s="112"/>
      <c r="D4" s="112"/>
      <c r="E4" s="9" t="s">
        <v>353</v>
      </c>
      <c r="F4" s="9" t="s">
        <v>2</v>
      </c>
      <c r="G4" s="9" t="s">
        <v>353</v>
      </c>
      <c r="H4" s="9" t="s">
        <v>2</v>
      </c>
      <c r="I4" s="9" t="s">
        <v>353</v>
      </c>
      <c r="J4" s="9" t="s">
        <v>2</v>
      </c>
      <c r="K4" s="9" t="s">
        <v>353</v>
      </c>
      <c r="L4" s="9" t="s">
        <v>2</v>
      </c>
      <c r="M4" s="112"/>
    </row>
    <row r="5" spans="1:13" ht="28.5" customHeight="1" x14ac:dyDescent="0.3">
      <c r="A5" s="69" t="s">
        <v>552</v>
      </c>
      <c r="B5" s="69"/>
      <c r="C5" s="69"/>
      <c r="D5" s="69"/>
      <c r="E5" s="9"/>
      <c r="F5" s="9"/>
      <c r="G5" s="9"/>
      <c r="H5" s="9"/>
      <c r="I5" s="9"/>
      <c r="J5" s="9"/>
      <c r="K5" s="9"/>
      <c r="L5" s="9"/>
      <c r="M5" s="69"/>
    </row>
    <row r="6" spans="1:13" ht="28.5" customHeight="1" x14ac:dyDescent="0.3">
      <c r="A6" s="36" t="s">
        <v>435</v>
      </c>
      <c r="B6" s="69"/>
      <c r="C6" s="69"/>
      <c r="D6" s="69"/>
      <c r="E6" s="9"/>
      <c r="F6" s="9"/>
      <c r="G6" s="9"/>
      <c r="H6" s="9"/>
      <c r="I6" s="9"/>
      <c r="J6" s="9"/>
      <c r="K6" s="9"/>
      <c r="L6" s="9"/>
      <c r="M6" s="69"/>
    </row>
    <row r="7" spans="1:13" ht="28.5" customHeight="1" x14ac:dyDescent="0.3">
      <c r="A7" s="87" t="s">
        <v>526</v>
      </c>
      <c r="B7" s="87" t="s">
        <v>490</v>
      </c>
      <c r="C7" s="11" t="s">
        <v>375</v>
      </c>
      <c r="D7" s="70">
        <v>5</v>
      </c>
      <c r="E7" s="44"/>
      <c r="F7" s="44"/>
      <c r="G7" s="44"/>
      <c r="H7" s="44"/>
      <c r="I7" s="44"/>
      <c r="J7" s="44"/>
      <c r="K7" s="44"/>
      <c r="L7" s="44"/>
      <c r="M7" s="34"/>
    </row>
    <row r="8" spans="1:13" ht="28.5" customHeight="1" x14ac:dyDescent="0.3">
      <c r="A8" s="87" t="s">
        <v>527</v>
      </c>
      <c r="B8" s="87" t="s">
        <v>490</v>
      </c>
      <c r="C8" s="11" t="s">
        <v>375</v>
      </c>
      <c r="D8" s="70">
        <v>2</v>
      </c>
      <c r="E8" s="44"/>
      <c r="F8" s="44"/>
      <c r="G8" s="44"/>
      <c r="H8" s="44"/>
      <c r="I8" s="44"/>
      <c r="J8" s="44"/>
      <c r="K8" s="44"/>
      <c r="L8" s="44"/>
      <c r="M8" s="34"/>
    </row>
    <row r="9" spans="1:13" s="20" customFormat="1" ht="28.5" customHeight="1" x14ac:dyDescent="0.3">
      <c r="A9" s="87" t="s">
        <v>528</v>
      </c>
      <c r="B9" s="87" t="s">
        <v>492</v>
      </c>
      <c r="C9" s="18" t="s">
        <v>375</v>
      </c>
      <c r="D9" s="70">
        <v>4</v>
      </c>
      <c r="E9" s="44"/>
      <c r="F9" s="44"/>
      <c r="G9" s="44"/>
      <c r="H9" s="44"/>
      <c r="I9" s="44"/>
      <c r="J9" s="44"/>
      <c r="K9" s="44"/>
      <c r="L9" s="44"/>
      <c r="M9" s="63"/>
    </row>
    <row r="10" spans="1:13" s="20" customFormat="1" ht="28.5" customHeight="1" x14ac:dyDescent="0.3">
      <c r="A10" s="87" t="s">
        <v>529</v>
      </c>
      <c r="B10" s="87" t="s">
        <v>493</v>
      </c>
      <c r="C10" s="18" t="s">
        <v>375</v>
      </c>
      <c r="D10" s="70">
        <v>2</v>
      </c>
      <c r="E10" s="44"/>
      <c r="F10" s="44"/>
      <c r="G10" s="44"/>
      <c r="H10" s="44"/>
      <c r="I10" s="44"/>
      <c r="J10" s="44"/>
      <c r="K10" s="44"/>
      <c r="L10" s="44"/>
      <c r="M10" s="63"/>
    </row>
    <row r="11" spans="1:13" s="20" customFormat="1" ht="28.5" customHeight="1" x14ac:dyDescent="0.3">
      <c r="A11" s="87" t="s">
        <v>530</v>
      </c>
      <c r="B11" s="87" t="s">
        <v>494</v>
      </c>
      <c r="C11" s="18" t="s">
        <v>375</v>
      </c>
      <c r="D11" s="70">
        <v>7</v>
      </c>
      <c r="E11" s="44"/>
      <c r="F11" s="44"/>
      <c r="G11" s="44"/>
      <c r="H11" s="44"/>
      <c r="I11" s="44"/>
      <c r="J11" s="44"/>
      <c r="K11" s="44"/>
      <c r="L11" s="44"/>
      <c r="M11" s="63"/>
    </row>
    <row r="12" spans="1:13" s="20" customFormat="1" ht="28.5" customHeight="1" x14ac:dyDescent="0.3">
      <c r="A12" s="87" t="s">
        <v>531</v>
      </c>
      <c r="B12" s="87" t="s">
        <v>494</v>
      </c>
      <c r="C12" s="18" t="s">
        <v>375</v>
      </c>
      <c r="D12" s="70">
        <v>3</v>
      </c>
      <c r="E12" s="44"/>
      <c r="F12" s="44"/>
      <c r="G12" s="44"/>
      <c r="H12" s="44"/>
      <c r="I12" s="44"/>
      <c r="J12" s="44"/>
      <c r="K12" s="44"/>
      <c r="L12" s="44"/>
      <c r="M12" s="63"/>
    </row>
    <row r="13" spans="1:13" s="20" customFormat="1" ht="28.5" customHeight="1" x14ac:dyDescent="0.3">
      <c r="A13" s="87" t="s">
        <v>532</v>
      </c>
      <c r="B13" s="87" t="s">
        <v>496</v>
      </c>
      <c r="C13" s="18" t="s">
        <v>375</v>
      </c>
      <c r="D13" s="70">
        <v>2</v>
      </c>
      <c r="E13" s="44"/>
      <c r="F13" s="44"/>
      <c r="G13" s="44"/>
      <c r="H13" s="44"/>
      <c r="I13" s="44"/>
      <c r="J13" s="44"/>
      <c r="K13" s="44"/>
      <c r="L13" s="44"/>
      <c r="M13" s="63"/>
    </row>
    <row r="14" spans="1:13" s="20" customFormat="1" ht="28.5" customHeight="1" x14ac:dyDescent="0.3">
      <c r="A14" s="87" t="s">
        <v>533</v>
      </c>
      <c r="B14" s="87" t="s">
        <v>497</v>
      </c>
      <c r="C14" s="18" t="s">
        <v>375</v>
      </c>
      <c r="D14" s="70">
        <v>3</v>
      </c>
      <c r="E14" s="44"/>
      <c r="F14" s="44"/>
      <c r="G14" s="44"/>
      <c r="H14" s="44"/>
      <c r="I14" s="44"/>
      <c r="J14" s="44"/>
      <c r="K14" s="44"/>
      <c r="L14" s="44"/>
      <c r="M14" s="63"/>
    </row>
    <row r="15" spans="1:13" s="20" customFormat="1" ht="28.5" customHeight="1" x14ac:dyDescent="0.3">
      <c r="A15" s="87" t="s">
        <v>534</v>
      </c>
      <c r="B15" s="87" t="s">
        <v>499</v>
      </c>
      <c r="C15" s="15" t="s">
        <v>375</v>
      </c>
      <c r="D15" s="70">
        <v>1</v>
      </c>
      <c r="E15" s="44"/>
      <c r="F15" s="44"/>
      <c r="G15" s="44"/>
      <c r="H15" s="44"/>
      <c r="I15" s="44"/>
      <c r="J15" s="44"/>
      <c r="K15" s="44"/>
      <c r="L15" s="44"/>
      <c r="M15" s="63"/>
    </row>
    <row r="16" spans="1:13" s="20" customFormat="1" ht="28.5" customHeight="1" x14ac:dyDescent="0.3">
      <c r="A16" s="87" t="s">
        <v>535</v>
      </c>
      <c r="B16" s="87" t="s">
        <v>501</v>
      </c>
      <c r="C16" s="15" t="s">
        <v>375</v>
      </c>
      <c r="D16" s="70">
        <v>3</v>
      </c>
      <c r="E16" s="44"/>
      <c r="F16" s="44"/>
      <c r="G16" s="44"/>
      <c r="H16" s="44"/>
      <c r="I16" s="44"/>
      <c r="J16" s="44"/>
      <c r="K16" s="44"/>
      <c r="L16" s="44"/>
      <c r="M16" s="63"/>
    </row>
    <row r="17" spans="1:22" s="20" customFormat="1" ht="28.5" customHeight="1" x14ac:dyDescent="0.3">
      <c r="A17" s="87" t="s">
        <v>537</v>
      </c>
      <c r="B17" s="87" t="s">
        <v>501</v>
      </c>
      <c r="C17" s="15" t="s">
        <v>375</v>
      </c>
      <c r="D17" s="70">
        <v>2</v>
      </c>
      <c r="E17" s="44"/>
      <c r="F17" s="44"/>
      <c r="G17" s="44"/>
      <c r="H17" s="44"/>
      <c r="I17" s="44"/>
      <c r="J17" s="44"/>
      <c r="K17" s="44"/>
      <c r="L17" s="44"/>
      <c r="M17" s="63"/>
    </row>
    <row r="18" spans="1:22" s="20" customFormat="1" ht="28.5" customHeight="1" x14ac:dyDescent="0.3">
      <c r="A18" s="87" t="s">
        <v>536</v>
      </c>
      <c r="B18" s="87" t="s">
        <v>503</v>
      </c>
      <c r="C18" s="15" t="s">
        <v>375</v>
      </c>
      <c r="D18" s="70">
        <v>2</v>
      </c>
      <c r="E18" s="44"/>
      <c r="F18" s="44"/>
      <c r="G18" s="44"/>
      <c r="H18" s="44"/>
      <c r="I18" s="44"/>
      <c r="J18" s="44"/>
      <c r="K18" s="44"/>
      <c r="L18" s="44"/>
      <c r="M18" s="63"/>
    </row>
    <row r="19" spans="1:22" s="20" customFormat="1" ht="28.5" customHeight="1" x14ac:dyDescent="0.3">
      <c r="A19" s="87" t="s">
        <v>538</v>
      </c>
      <c r="B19" s="87" t="s">
        <v>505</v>
      </c>
      <c r="C19" s="15" t="s">
        <v>375</v>
      </c>
      <c r="D19" s="70">
        <v>8</v>
      </c>
      <c r="E19" s="44"/>
      <c r="F19" s="44"/>
      <c r="G19" s="44"/>
      <c r="H19" s="44"/>
      <c r="I19" s="44"/>
      <c r="J19" s="44"/>
      <c r="K19" s="44"/>
      <c r="L19" s="44"/>
      <c r="M19" s="63"/>
    </row>
    <row r="20" spans="1:22" s="20" customFormat="1" ht="28.5" customHeight="1" x14ac:dyDescent="0.3">
      <c r="A20" s="87" t="s">
        <v>539</v>
      </c>
      <c r="B20" s="87" t="s">
        <v>505</v>
      </c>
      <c r="C20" s="15" t="s">
        <v>375</v>
      </c>
      <c r="D20" s="70">
        <v>4</v>
      </c>
      <c r="E20" s="44"/>
      <c r="F20" s="44"/>
      <c r="G20" s="44"/>
      <c r="H20" s="44"/>
      <c r="I20" s="44"/>
      <c r="J20" s="44"/>
      <c r="K20" s="44"/>
      <c r="L20" s="44"/>
      <c r="M20" s="63"/>
    </row>
    <row r="21" spans="1:22" s="20" customFormat="1" ht="28.5" customHeight="1" x14ac:dyDescent="0.3">
      <c r="A21" s="87" t="s">
        <v>540</v>
      </c>
      <c r="B21" s="87" t="s">
        <v>507</v>
      </c>
      <c r="C21" s="15" t="s">
        <v>375</v>
      </c>
      <c r="D21" s="70">
        <v>2</v>
      </c>
      <c r="E21" s="44"/>
      <c r="F21" s="44"/>
      <c r="G21" s="44"/>
      <c r="H21" s="44"/>
      <c r="I21" s="44"/>
      <c r="J21" s="44"/>
      <c r="K21" s="44"/>
      <c r="L21" s="44"/>
      <c r="M21" s="63"/>
      <c r="O21" s="86"/>
    </row>
    <row r="22" spans="1:22" s="35" customFormat="1" ht="28.5" customHeight="1" x14ac:dyDescent="0.3">
      <c r="A22" s="34" t="s">
        <v>376</v>
      </c>
      <c r="B22" s="34" t="s">
        <v>378</v>
      </c>
      <c r="C22" s="34" t="s">
        <v>377</v>
      </c>
      <c r="D22" s="93">
        <v>2</v>
      </c>
      <c r="E22" s="44"/>
      <c r="F22" s="44"/>
      <c r="G22" s="44"/>
      <c r="H22" s="44"/>
      <c r="I22" s="44"/>
      <c r="J22" s="44"/>
      <c r="K22" s="44"/>
      <c r="L22" s="44"/>
      <c r="M22" s="34"/>
    </row>
    <row r="23" spans="1:22" s="58" customFormat="1" ht="28.5" customHeight="1" x14ac:dyDescent="0.3">
      <c r="A23" s="54" t="s">
        <v>374</v>
      </c>
      <c r="B23" s="54"/>
      <c r="C23" s="54"/>
      <c r="D23" s="55"/>
      <c r="E23" s="56"/>
      <c r="F23" s="56"/>
      <c r="G23" s="56"/>
      <c r="H23" s="56"/>
      <c r="I23" s="56"/>
      <c r="J23" s="56"/>
      <c r="K23" s="56"/>
      <c r="L23" s="56"/>
      <c r="M23" s="54"/>
      <c r="N23" s="75" t="s">
        <v>486</v>
      </c>
      <c r="O23" s="75" t="s">
        <v>487</v>
      </c>
      <c r="P23" s="75" t="s">
        <v>381</v>
      </c>
      <c r="Q23" s="75" t="s">
        <v>382</v>
      </c>
      <c r="R23" s="75" t="s">
        <v>383</v>
      </c>
      <c r="S23" s="75" t="s">
        <v>384</v>
      </c>
      <c r="T23" s="57"/>
      <c r="U23" s="57"/>
      <c r="V23" s="57"/>
    </row>
    <row r="24" spans="1:22" ht="28.5" customHeight="1" x14ac:dyDescent="0.3">
      <c r="A24" s="36" t="s">
        <v>483</v>
      </c>
      <c r="B24" s="69"/>
      <c r="C24" s="69"/>
      <c r="D24" s="43"/>
      <c r="E24" s="44"/>
      <c r="F24" s="44"/>
      <c r="G24" s="44"/>
      <c r="H24" s="44"/>
      <c r="I24" s="44"/>
      <c r="J24" s="44"/>
      <c r="K24" s="44"/>
      <c r="L24" s="44"/>
      <c r="M24" s="34"/>
      <c r="N24" s="76"/>
      <c r="O24" s="76"/>
      <c r="P24" s="76">
        <v>140000</v>
      </c>
      <c r="Q24" s="76">
        <v>0.3</v>
      </c>
      <c r="R24" s="76"/>
      <c r="S24" s="76">
        <v>0.5</v>
      </c>
      <c r="T24" s="77"/>
      <c r="U24" s="77"/>
      <c r="V24" s="77"/>
    </row>
    <row r="25" spans="1:22" ht="28.5" customHeight="1" x14ac:dyDescent="0.3">
      <c r="A25" s="87" t="s">
        <v>510</v>
      </c>
      <c r="B25" s="87" t="s">
        <v>490</v>
      </c>
      <c r="C25" s="11" t="s">
        <v>375</v>
      </c>
      <c r="D25" s="88">
        <v>5</v>
      </c>
      <c r="E25" s="45"/>
      <c r="F25" s="44"/>
      <c r="G25" s="45"/>
      <c r="H25" s="44"/>
      <c r="I25" s="44"/>
      <c r="J25" s="44"/>
      <c r="K25" s="44"/>
      <c r="L25" s="44"/>
      <c r="M25" s="11" t="s">
        <v>300</v>
      </c>
      <c r="N25" s="78">
        <v>2001670.0000000002</v>
      </c>
      <c r="O25" s="89">
        <f>3.2*1.8</f>
        <v>5.7600000000000007</v>
      </c>
      <c r="P25" s="76">
        <f>$P$24*O25</f>
        <v>806400.00000000012</v>
      </c>
      <c r="Q25" s="76">
        <f>P25*$Q$24</f>
        <v>241920.00000000003</v>
      </c>
      <c r="R25" s="76">
        <f>N25-P25-Q25</f>
        <v>953350</v>
      </c>
      <c r="S25" s="76">
        <f>$S$24*R25</f>
        <v>476675</v>
      </c>
      <c r="T25" s="77">
        <f>N25/O25</f>
        <v>347512.15277777775</v>
      </c>
      <c r="U25" s="77"/>
      <c r="V25" s="77"/>
    </row>
    <row r="26" spans="1:22" ht="28.5" customHeight="1" x14ac:dyDescent="0.3">
      <c r="A26" s="87" t="s">
        <v>511</v>
      </c>
      <c r="B26" s="87" t="s">
        <v>490</v>
      </c>
      <c r="C26" s="11" t="s">
        <v>375</v>
      </c>
      <c r="D26" s="88">
        <v>2</v>
      </c>
      <c r="E26" s="45"/>
      <c r="F26" s="44"/>
      <c r="G26" s="45"/>
      <c r="H26" s="44"/>
      <c r="I26" s="44"/>
      <c r="J26" s="44"/>
      <c r="K26" s="44"/>
      <c r="L26" s="44"/>
      <c r="M26" s="11"/>
      <c r="N26" s="78">
        <f>N25</f>
        <v>2001670.0000000002</v>
      </c>
      <c r="O26" s="89">
        <f>3.2*1.8</f>
        <v>5.7600000000000007</v>
      </c>
      <c r="P26" s="76">
        <f t="shared" ref="P26:P38" si="0">$P$24*O26</f>
        <v>806400.00000000012</v>
      </c>
      <c r="Q26" s="76">
        <f t="shared" ref="Q26:Q39" si="1">P26*$Q$24</f>
        <v>241920.00000000003</v>
      </c>
      <c r="R26" s="76">
        <f t="shared" ref="R26:R39" si="2">N26-P26-Q26</f>
        <v>953350</v>
      </c>
      <c r="S26" s="76">
        <f t="shared" ref="S26:S39" si="3">$S$24*R26</f>
        <v>476675</v>
      </c>
      <c r="T26" s="77"/>
      <c r="U26" s="77"/>
      <c r="V26" s="77"/>
    </row>
    <row r="27" spans="1:22" s="20" customFormat="1" ht="28.5" customHeight="1" x14ac:dyDescent="0.3">
      <c r="A27" s="87" t="s">
        <v>512</v>
      </c>
      <c r="B27" s="87" t="s">
        <v>492</v>
      </c>
      <c r="C27" s="18" t="s">
        <v>375</v>
      </c>
      <c r="D27" s="88">
        <v>4</v>
      </c>
      <c r="E27" s="45"/>
      <c r="F27" s="61"/>
      <c r="G27" s="45"/>
      <c r="H27" s="61"/>
      <c r="I27" s="44"/>
      <c r="J27" s="44"/>
      <c r="K27" s="61"/>
      <c r="L27" s="61"/>
      <c r="M27" s="18"/>
      <c r="N27" s="16">
        <f>O27*$T$25</f>
        <v>1876565.625</v>
      </c>
      <c r="O27" s="91">
        <f>3*1.8</f>
        <v>5.4</v>
      </c>
      <c r="P27" s="79">
        <f t="shared" si="0"/>
        <v>756000</v>
      </c>
      <c r="Q27" s="79">
        <f t="shared" si="1"/>
        <v>226800</v>
      </c>
      <c r="R27" s="79">
        <f t="shared" si="2"/>
        <v>893765.625</v>
      </c>
      <c r="S27" s="79">
        <f t="shared" si="3"/>
        <v>446882.8125</v>
      </c>
      <c r="T27" s="80"/>
      <c r="U27" s="80"/>
      <c r="V27" s="80"/>
    </row>
    <row r="28" spans="1:22" s="20" customFormat="1" ht="28.5" customHeight="1" x14ac:dyDescent="0.3">
      <c r="A28" s="87" t="s">
        <v>513</v>
      </c>
      <c r="B28" s="87" t="s">
        <v>493</v>
      </c>
      <c r="C28" s="18" t="s">
        <v>375</v>
      </c>
      <c r="D28" s="88">
        <v>2</v>
      </c>
      <c r="E28" s="45"/>
      <c r="F28" s="61"/>
      <c r="G28" s="45"/>
      <c r="H28" s="61"/>
      <c r="I28" s="44"/>
      <c r="J28" s="44"/>
      <c r="K28" s="61"/>
      <c r="L28" s="61"/>
      <c r="M28" s="18"/>
      <c r="N28" s="16">
        <f t="shared" ref="N28:N39" si="4">O28*$T$25</f>
        <v>1876565.625</v>
      </c>
      <c r="O28" s="91">
        <f>3*1.8</f>
        <v>5.4</v>
      </c>
      <c r="P28" s="79">
        <f t="shared" si="0"/>
        <v>756000</v>
      </c>
      <c r="Q28" s="79">
        <f t="shared" si="1"/>
        <v>226800</v>
      </c>
      <c r="R28" s="79">
        <f t="shared" si="2"/>
        <v>893765.625</v>
      </c>
      <c r="S28" s="79">
        <f t="shared" si="3"/>
        <v>446882.8125</v>
      </c>
      <c r="T28" s="80"/>
      <c r="U28" s="80"/>
      <c r="V28" s="80"/>
    </row>
    <row r="29" spans="1:22" s="20" customFormat="1" ht="28.5" customHeight="1" x14ac:dyDescent="0.3">
      <c r="A29" s="87" t="s">
        <v>514</v>
      </c>
      <c r="B29" s="87" t="s">
        <v>494</v>
      </c>
      <c r="C29" s="18" t="s">
        <v>375</v>
      </c>
      <c r="D29" s="88">
        <v>7</v>
      </c>
      <c r="E29" s="45"/>
      <c r="F29" s="61"/>
      <c r="G29" s="45"/>
      <c r="H29" s="61"/>
      <c r="I29" s="44"/>
      <c r="J29" s="44"/>
      <c r="K29" s="61"/>
      <c r="L29" s="61"/>
      <c r="M29" s="18"/>
      <c r="N29" s="16">
        <f t="shared" si="4"/>
        <v>1251043.75</v>
      </c>
      <c r="O29" s="91">
        <f>2*1.8</f>
        <v>3.6</v>
      </c>
      <c r="P29" s="79">
        <f t="shared" si="0"/>
        <v>504000</v>
      </c>
      <c r="Q29" s="79">
        <f t="shared" si="1"/>
        <v>151200</v>
      </c>
      <c r="R29" s="79">
        <f t="shared" si="2"/>
        <v>595843.75</v>
      </c>
      <c r="S29" s="79">
        <f t="shared" si="3"/>
        <v>297921.875</v>
      </c>
      <c r="T29" s="80"/>
      <c r="U29" s="80"/>
      <c r="V29" s="80"/>
    </row>
    <row r="30" spans="1:22" s="20" customFormat="1" ht="28.5" customHeight="1" x14ac:dyDescent="0.3">
      <c r="A30" s="87" t="s">
        <v>515</v>
      </c>
      <c r="B30" s="87" t="s">
        <v>494</v>
      </c>
      <c r="C30" s="18" t="s">
        <v>375</v>
      </c>
      <c r="D30" s="88">
        <v>3</v>
      </c>
      <c r="E30" s="45"/>
      <c r="F30" s="61"/>
      <c r="G30" s="45"/>
      <c r="H30" s="61"/>
      <c r="I30" s="44"/>
      <c r="J30" s="44"/>
      <c r="K30" s="61"/>
      <c r="L30" s="61"/>
      <c r="M30" s="18"/>
      <c r="N30" s="16">
        <f t="shared" si="4"/>
        <v>1251043.75</v>
      </c>
      <c r="O30" s="91">
        <f>2*1.8</f>
        <v>3.6</v>
      </c>
      <c r="P30" s="79">
        <f t="shared" si="0"/>
        <v>504000</v>
      </c>
      <c r="Q30" s="79">
        <f t="shared" si="1"/>
        <v>151200</v>
      </c>
      <c r="R30" s="79">
        <f t="shared" si="2"/>
        <v>595843.75</v>
      </c>
      <c r="S30" s="79">
        <f t="shared" si="3"/>
        <v>297921.875</v>
      </c>
      <c r="T30" s="80"/>
      <c r="U30" s="80"/>
      <c r="V30" s="80"/>
    </row>
    <row r="31" spans="1:22" s="20" customFormat="1" ht="28.5" customHeight="1" x14ac:dyDescent="0.3">
      <c r="A31" s="87" t="s">
        <v>516</v>
      </c>
      <c r="B31" s="87" t="s">
        <v>496</v>
      </c>
      <c r="C31" s="18" t="s">
        <v>375</v>
      </c>
      <c r="D31" s="88">
        <v>2</v>
      </c>
      <c r="E31" s="45"/>
      <c r="F31" s="61"/>
      <c r="G31" s="45"/>
      <c r="H31" s="61"/>
      <c r="I31" s="44"/>
      <c r="J31" s="44"/>
      <c r="K31" s="61"/>
      <c r="L31" s="61"/>
      <c r="M31" s="18"/>
      <c r="N31" s="16">
        <f t="shared" si="4"/>
        <v>938282.8125</v>
      </c>
      <c r="O31" s="91">
        <f>1.8*1.5</f>
        <v>2.7</v>
      </c>
      <c r="P31" s="79">
        <f t="shared" si="0"/>
        <v>378000</v>
      </c>
      <c r="Q31" s="79">
        <f t="shared" si="1"/>
        <v>113400</v>
      </c>
      <c r="R31" s="79">
        <f t="shared" si="2"/>
        <v>446882.8125</v>
      </c>
      <c r="S31" s="79">
        <f t="shared" si="3"/>
        <v>223441.40625</v>
      </c>
      <c r="T31" s="80"/>
      <c r="U31" s="80"/>
      <c r="V31" s="80"/>
    </row>
    <row r="32" spans="1:22" s="20" customFormat="1" ht="28.5" customHeight="1" x14ac:dyDescent="0.3">
      <c r="A32" s="87" t="s">
        <v>517</v>
      </c>
      <c r="B32" s="87" t="s">
        <v>497</v>
      </c>
      <c r="C32" s="18" t="s">
        <v>375</v>
      </c>
      <c r="D32" s="88">
        <v>3</v>
      </c>
      <c r="E32" s="45"/>
      <c r="F32" s="61"/>
      <c r="G32" s="45"/>
      <c r="H32" s="61"/>
      <c r="I32" s="44"/>
      <c r="J32" s="44"/>
      <c r="K32" s="61"/>
      <c r="L32" s="61"/>
      <c r="M32" s="18"/>
      <c r="N32" s="16">
        <f t="shared" si="4"/>
        <v>886155.98958333326</v>
      </c>
      <c r="O32" s="91">
        <f>1.7*1.5</f>
        <v>2.5499999999999998</v>
      </c>
      <c r="P32" s="79">
        <f t="shared" si="0"/>
        <v>357000</v>
      </c>
      <c r="Q32" s="79">
        <f t="shared" si="1"/>
        <v>107100</v>
      </c>
      <c r="R32" s="79">
        <f t="shared" si="2"/>
        <v>422055.98958333326</v>
      </c>
      <c r="S32" s="79">
        <f t="shared" si="3"/>
        <v>211027.99479166663</v>
      </c>
      <c r="T32" s="80"/>
      <c r="U32" s="80"/>
      <c r="V32" s="80"/>
    </row>
    <row r="33" spans="1:22" s="20" customFormat="1" ht="28.5" customHeight="1" x14ac:dyDescent="0.3">
      <c r="A33" s="87" t="s">
        <v>518</v>
      </c>
      <c r="B33" s="87" t="s">
        <v>499</v>
      </c>
      <c r="C33" s="15" t="s">
        <v>375</v>
      </c>
      <c r="D33" s="88">
        <v>1</v>
      </c>
      <c r="E33" s="45"/>
      <c r="F33" s="61"/>
      <c r="G33" s="45"/>
      <c r="H33" s="61"/>
      <c r="I33" s="44"/>
      <c r="J33" s="44"/>
      <c r="K33" s="61"/>
      <c r="L33" s="61"/>
      <c r="M33" s="18"/>
      <c r="N33" s="16">
        <f t="shared" si="4"/>
        <v>781902.34375</v>
      </c>
      <c r="O33" s="91">
        <f>1.5*1.5</f>
        <v>2.25</v>
      </c>
      <c r="P33" s="79">
        <f t="shared" si="0"/>
        <v>315000</v>
      </c>
      <c r="Q33" s="79">
        <f t="shared" si="1"/>
        <v>94500</v>
      </c>
      <c r="R33" s="79">
        <f t="shared" si="2"/>
        <v>372402.34375</v>
      </c>
      <c r="S33" s="79">
        <f t="shared" si="3"/>
        <v>186201.171875</v>
      </c>
      <c r="T33" s="80"/>
      <c r="U33" s="80"/>
      <c r="V33" s="80"/>
    </row>
    <row r="34" spans="1:22" s="20" customFormat="1" ht="28.5" customHeight="1" x14ac:dyDescent="0.3">
      <c r="A34" s="87" t="s">
        <v>519</v>
      </c>
      <c r="B34" s="87" t="s">
        <v>501</v>
      </c>
      <c r="C34" s="15" t="s">
        <v>375</v>
      </c>
      <c r="D34" s="88">
        <v>3</v>
      </c>
      <c r="E34" s="45"/>
      <c r="F34" s="61"/>
      <c r="G34" s="45"/>
      <c r="H34" s="61"/>
      <c r="I34" s="44"/>
      <c r="J34" s="44"/>
      <c r="K34" s="61"/>
      <c r="L34" s="61"/>
      <c r="M34" s="18"/>
      <c r="N34" s="16">
        <f t="shared" si="4"/>
        <v>625521.87499999988</v>
      </c>
      <c r="O34" s="91">
        <f>1.2*1.5</f>
        <v>1.7999999999999998</v>
      </c>
      <c r="P34" s="79">
        <f t="shared" si="0"/>
        <v>251999.99999999997</v>
      </c>
      <c r="Q34" s="79">
        <f t="shared" si="1"/>
        <v>75599.999999999985</v>
      </c>
      <c r="R34" s="79">
        <f t="shared" si="2"/>
        <v>297921.87499999988</v>
      </c>
      <c r="S34" s="79">
        <f t="shared" si="3"/>
        <v>148960.93749999994</v>
      </c>
      <c r="T34" s="80"/>
      <c r="U34" s="80"/>
      <c r="V34" s="80"/>
    </row>
    <row r="35" spans="1:22" s="20" customFormat="1" ht="28.5" customHeight="1" x14ac:dyDescent="0.3">
      <c r="A35" s="87" t="s">
        <v>520</v>
      </c>
      <c r="B35" s="87" t="s">
        <v>501</v>
      </c>
      <c r="C35" s="15" t="s">
        <v>375</v>
      </c>
      <c r="D35" s="88">
        <v>2</v>
      </c>
      <c r="E35" s="45"/>
      <c r="F35" s="61"/>
      <c r="G35" s="45"/>
      <c r="H35" s="61"/>
      <c r="I35" s="44"/>
      <c r="J35" s="44"/>
      <c r="K35" s="61"/>
      <c r="L35" s="61"/>
      <c r="M35" s="18"/>
      <c r="N35" s="16">
        <f t="shared" si="4"/>
        <v>625521.87499999988</v>
      </c>
      <c r="O35" s="91">
        <f>1.2*1.5</f>
        <v>1.7999999999999998</v>
      </c>
      <c r="P35" s="79">
        <f t="shared" si="0"/>
        <v>251999.99999999997</v>
      </c>
      <c r="Q35" s="79">
        <f t="shared" si="1"/>
        <v>75599.999999999985</v>
      </c>
      <c r="R35" s="79">
        <f t="shared" si="2"/>
        <v>297921.87499999988</v>
      </c>
      <c r="S35" s="79">
        <f t="shared" si="3"/>
        <v>148960.93749999994</v>
      </c>
      <c r="T35" s="80"/>
      <c r="U35" s="80"/>
      <c r="V35" s="80"/>
    </row>
    <row r="36" spans="1:22" s="20" customFormat="1" ht="28.5" customHeight="1" x14ac:dyDescent="0.3">
      <c r="A36" s="87" t="s">
        <v>521</v>
      </c>
      <c r="B36" s="87" t="s">
        <v>503</v>
      </c>
      <c r="C36" s="15" t="s">
        <v>375</v>
      </c>
      <c r="D36" s="88">
        <v>2</v>
      </c>
      <c r="E36" s="45"/>
      <c r="F36" s="61"/>
      <c r="G36" s="45"/>
      <c r="H36" s="61"/>
      <c r="I36" s="44"/>
      <c r="J36" s="44"/>
      <c r="K36" s="61"/>
      <c r="L36" s="61"/>
      <c r="M36" s="18"/>
      <c r="N36" s="16">
        <f t="shared" si="4"/>
        <v>625521.875</v>
      </c>
      <c r="O36" s="91">
        <f>1*1.8</f>
        <v>1.8</v>
      </c>
      <c r="P36" s="79">
        <f t="shared" si="0"/>
        <v>252000</v>
      </c>
      <c r="Q36" s="79">
        <f t="shared" si="1"/>
        <v>75600</v>
      </c>
      <c r="R36" s="79">
        <f t="shared" si="2"/>
        <v>297921.875</v>
      </c>
      <c r="S36" s="79">
        <f t="shared" si="3"/>
        <v>148960.9375</v>
      </c>
      <c r="T36" s="80"/>
      <c r="U36" s="80"/>
      <c r="V36" s="80"/>
    </row>
    <row r="37" spans="1:22" s="20" customFormat="1" ht="28.5" customHeight="1" x14ac:dyDescent="0.3">
      <c r="A37" s="87" t="s">
        <v>522</v>
      </c>
      <c r="B37" s="87" t="s">
        <v>505</v>
      </c>
      <c r="C37" s="15" t="s">
        <v>375</v>
      </c>
      <c r="D37" s="88">
        <v>8</v>
      </c>
      <c r="E37" s="45"/>
      <c r="F37" s="61"/>
      <c r="G37" s="45"/>
      <c r="H37" s="61"/>
      <c r="I37" s="44"/>
      <c r="J37" s="44"/>
      <c r="K37" s="61"/>
      <c r="L37" s="61"/>
      <c r="M37" s="18"/>
      <c r="N37" s="16">
        <f t="shared" si="4"/>
        <v>500417.5</v>
      </c>
      <c r="O37" s="91">
        <f>0.8*1.8</f>
        <v>1.4400000000000002</v>
      </c>
      <c r="P37" s="79">
        <f t="shared" si="0"/>
        <v>201600.00000000003</v>
      </c>
      <c r="Q37" s="79">
        <f t="shared" si="1"/>
        <v>60480.000000000007</v>
      </c>
      <c r="R37" s="79">
        <f t="shared" si="2"/>
        <v>238337.5</v>
      </c>
      <c r="S37" s="79">
        <f t="shared" si="3"/>
        <v>119168.75</v>
      </c>
      <c r="T37" s="80"/>
      <c r="U37" s="80"/>
      <c r="V37" s="80"/>
    </row>
    <row r="38" spans="1:22" s="20" customFormat="1" ht="28.5" customHeight="1" x14ac:dyDescent="0.3">
      <c r="A38" s="87" t="s">
        <v>523</v>
      </c>
      <c r="B38" s="87" t="s">
        <v>505</v>
      </c>
      <c r="C38" s="15" t="s">
        <v>375</v>
      </c>
      <c r="D38" s="88">
        <v>4</v>
      </c>
      <c r="E38" s="45"/>
      <c r="F38" s="61"/>
      <c r="G38" s="45"/>
      <c r="H38" s="61"/>
      <c r="I38" s="44"/>
      <c r="J38" s="44"/>
      <c r="K38" s="61"/>
      <c r="L38" s="61"/>
      <c r="M38" s="18"/>
      <c r="N38" s="16">
        <f t="shared" si="4"/>
        <v>500417.5</v>
      </c>
      <c r="O38" s="90">
        <f>0.8*1.8</f>
        <v>1.4400000000000002</v>
      </c>
      <c r="P38" s="79">
        <f t="shared" si="0"/>
        <v>201600.00000000003</v>
      </c>
      <c r="Q38" s="79">
        <f t="shared" si="1"/>
        <v>60480.000000000007</v>
      </c>
      <c r="R38" s="79">
        <f t="shared" si="2"/>
        <v>238337.5</v>
      </c>
      <c r="S38" s="79">
        <f t="shared" si="3"/>
        <v>119168.75</v>
      </c>
      <c r="T38" s="80"/>
      <c r="U38" s="80"/>
      <c r="V38" s="80"/>
    </row>
    <row r="39" spans="1:22" s="20" customFormat="1" ht="28.5" customHeight="1" x14ac:dyDescent="0.3">
      <c r="A39" s="87" t="s">
        <v>524</v>
      </c>
      <c r="B39" s="87" t="s">
        <v>507</v>
      </c>
      <c r="C39" s="15" t="s">
        <v>375</v>
      </c>
      <c r="D39" s="88">
        <v>2</v>
      </c>
      <c r="E39" s="45"/>
      <c r="F39" s="44"/>
      <c r="G39" s="45"/>
      <c r="H39" s="44"/>
      <c r="I39" s="44"/>
      <c r="J39" s="44"/>
      <c r="K39" s="44"/>
      <c r="L39" s="44"/>
      <c r="M39" s="18"/>
      <c r="N39" s="16">
        <f t="shared" si="4"/>
        <v>417014.58333333337</v>
      </c>
      <c r="O39" s="90">
        <f>0.8*1.5</f>
        <v>1.2000000000000002</v>
      </c>
      <c r="P39" s="76">
        <f>$P$24*O39</f>
        <v>168000.00000000003</v>
      </c>
      <c r="Q39" s="76">
        <f t="shared" si="1"/>
        <v>50400.000000000007</v>
      </c>
      <c r="R39" s="76">
        <f t="shared" si="2"/>
        <v>198614.58333333334</v>
      </c>
      <c r="S39" s="76">
        <f t="shared" si="3"/>
        <v>99307.291666666672</v>
      </c>
      <c r="T39" s="80"/>
      <c r="U39" s="80"/>
      <c r="V39" s="80"/>
    </row>
    <row r="40" spans="1:22" s="20" customFormat="1" ht="28.5" customHeight="1" x14ac:dyDescent="0.3">
      <c r="A40" s="34" t="s">
        <v>376</v>
      </c>
      <c r="B40" s="34" t="s">
        <v>378</v>
      </c>
      <c r="C40" s="34" t="s">
        <v>377</v>
      </c>
      <c r="D40" s="71">
        <v>2</v>
      </c>
      <c r="E40" s="17"/>
      <c r="F40" s="44"/>
      <c r="G40" s="17"/>
      <c r="H40" s="44"/>
      <c r="I40" s="17"/>
      <c r="J40" s="44"/>
      <c r="K40" s="44"/>
      <c r="L40" s="44"/>
      <c r="M40" s="72"/>
      <c r="N40" s="80"/>
      <c r="O40" s="80"/>
      <c r="P40" s="80"/>
      <c r="Q40" s="80"/>
      <c r="R40" s="80"/>
      <c r="S40" s="80"/>
      <c r="T40" s="80"/>
      <c r="U40" s="80"/>
      <c r="V40" s="80"/>
    </row>
    <row r="41" spans="1:22" s="58" customFormat="1" ht="28.5" customHeight="1" x14ac:dyDescent="0.3">
      <c r="A41" s="54" t="s">
        <v>374</v>
      </c>
      <c r="B41" s="54"/>
      <c r="C41" s="54"/>
      <c r="D41" s="55"/>
      <c r="E41" s="56"/>
      <c r="F41" s="56"/>
      <c r="G41" s="56"/>
      <c r="H41" s="56"/>
      <c r="I41" s="56"/>
      <c r="J41" s="56"/>
      <c r="K41" s="56"/>
      <c r="L41" s="56"/>
      <c r="M41" s="54"/>
      <c r="N41" s="57"/>
      <c r="O41" s="82"/>
      <c r="P41" s="82"/>
      <c r="Q41" s="83"/>
      <c r="R41" s="82"/>
      <c r="S41" s="82"/>
      <c r="T41" s="57"/>
      <c r="U41" s="57"/>
      <c r="V41" s="57"/>
    </row>
    <row r="42" spans="1:22" s="20" customFormat="1" ht="28.5" customHeight="1" x14ac:dyDescent="0.3">
      <c r="A42" s="36" t="s">
        <v>484</v>
      </c>
      <c r="B42" s="25"/>
      <c r="C42" s="26"/>
      <c r="D42" s="40"/>
      <c r="E42" s="17"/>
      <c r="F42" s="44"/>
      <c r="G42" s="17"/>
      <c r="H42" s="29"/>
      <c r="I42" s="17"/>
      <c r="J42" s="29"/>
      <c r="K42" s="29"/>
      <c r="L42" s="29"/>
      <c r="M42" s="18"/>
      <c r="N42" s="80"/>
      <c r="O42" s="84"/>
      <c r="P42" s="84"/>
      <c r="Q42" s="85"/>
      <c r="R42" s="84"/>
      <c r="S42" s="84"/>
      <c r="T42" s="80"/>
      <c r="U42" s="80"/>
      <c r="V42" s="80"/>
    </row>
    <row r="43" spans="1:22" s="20" customFormat="1" ht="28.5" customHeight="1" x14ac:dyDescent="0.3">
      <c r="A43" s="12" t="s">
        <v>489</v>
      </c>
      <c r="B43" s="25" t="s">
        <v>379</v>
      </c>
      <c r="C43" s="37" t="s">
        <v>380</v>
      </c>
      <c r="D43" s="40">
        <f>O25*D25</f>
        <v>28.800000000000004</v>
      </c>
      <c r="E43" s="17"/>
      <c r="F43" s="44"/>
      <c r="G43" s="17"/>
      <c r="H43" s="44"/>
      <c r="I43" s="17"/>
      <c r="J43" s="44"/>
      <c r="K43" s="44"/>
      <c r="L43" s="44"/>
      <c r="M43" s="18"/>
      <c r="O43" s="47"/>
      <c r="P43" s="47"/>
      <c r="Q43" s="48"/>
      <c r="R43" s="47"/>
      <c r="S43" s="47"/>
    </row>
    <row r="44" spans="1:22" s="20" customFormat="1" ht="28.5" customHeight="1" x14ac:dyDescent="0.3">
      <c r="A44" s="12" t="s">
        <v>541</v>
      </c>
      <c r="B44" s="25" t="s">
        <v>379</v>
      </c>
      <c r="C44" s="37" t="s">
        <v>380</v>
      </c>
      <c r="D44" s="40">
        <f>O26*D26</f>
        <v>11.520000000000001</v>
      </c>
      <c r="E44" s="17"/>
      <c r="F44" s="44"/>
      <c r="G44" s="17"/>
      <c r="H44" s="44"/>
      <c r="I44" s="17"/>
      <c r="J44" s="44"/>
      <c r="K44" s="44"/>
      <c r="L44" s="44"/>
      <c r="M44" s="18"/>
      <c r="O44" s="47"/>
      <c r="P44" s="47"/>
      <c r="Q44" s="48"/>
      <c r="R44" s="47"/>
      <c r="S44" s="47"/>
    </row>
    <row r="45" spans="1:22" s="20" customFormat="1" ht="28.5" customHeight="1" x14ac:dyDescent="0.3">
      <c r="A45" s="12" t="s">
        <v>491</v>
      </c>
      <c r="B45" s="25" t="s">
        <v>379</v>
      </c>
      <c r="C45" s="37" t="s">
        <v>380</v>
      </c>
      <c r="D45" s="40">
        <f>O27*D27</f>
        <v>21.6</v>
      </c>
      <c r="E45" s="17"/>
      <c r="F45" s="61"/>
      <c r="G45" s="17"/>
      <c r="H45" s="61"/>
      <c r="I45" s="17"/>
      <c r="J45" s="61"/>
      <c r="K45" s="61"/>
      <c r="L45" s="61"/>
      <c r="M45" s="18"/>
      <c r="O45" s="47"/>
      <c r="P45" s="47"/>
      <c r="Q45" s="62"/>
      <c r="R45" s="47"/>
      <c r="S45" s="47"/>
    </row>
    <row r="46" spans="1:22" s="20" customFormat="1" ht="28.5" customHeight="1" x14ac:dyDescent="0.3">
      <c r="A46" s="12" t="s">
        <v>542</v>
      </c>
      <c r="B46" s="25" t="s">
        <v>379</v>
      </c>
      <c r="C46" s="37" t="s">
        <v>380</v>
      </c>
      <c r="D46" s="40">
        <f>O28*D28</f>
        <v>10.8</v>
      </c>
      <c r="E46" s="17"/>
      <c r="F46" s="61"/>
      <c r="G46" s="17"/>
      <c r="H46" s="61"/>
      <c r="I46" s="17"/>
      <c r="J46" s="61"/>
      <c r="K46" s="61"/>
      <c r="L46" s="61"/>
      <c r="M46" s="18"/>
      <c r="O46" s="47"/>
      <c r="P46" s="47"/>
      <c r="Q46" s="62"/>
      <c r="R46" s="47"/>
      <c r="S46" s="47"/>
    </row>
    <row r="47" spans="1:22" s="20" customFormat="1" ht="28.5" customHeight="1" x14ac:dyDescent="0.3">
      <c r="A47" s="12" t="s">
        <v>393</v>
      </c>
      <c r="B47" s="25" t="s">
        <v>379</v>
      </c>
      <c r="C47" s="37" t="s">
        <v>380</v>
      </c>
      <c r="D47" s="40">
        <f>O29*D29</f>
        <v>25.2</v>
      </c>
      <c r="E47" s="17"/>
      <c r="F47" s="61"/>
      <c r="G47" s="17"/>
      <c r="H47" s="61"/>
      <c r="I47" s="17"/>
      <c r="J47" s="61"/>
      <c r="K47" s="61"/>
      <c r="L47" s="61"/>
      <c r="M47" s="18"/>
      <c r="O47" s="47"/>
      <c r="P47" s="47"/>
      <c r="Q47" s="62"/>
      <c r="R47" s="47"/>
      <c r="S47" s="47"/>
    </row>
    <row r="48" spans="1:22" s="27" customFormat="1" ht="28.5" customHeight="1" x14ac:dyDescent="0.3">
      <c r="A48" s="12" t="s">
        <v>543</v>
      </c>
      <c r="B48" s="25" t="s">
        <v>379</v>
      </c>
      <c r="C48" s="37" t="s">
        <v>380</v>
      </c>
      <c r="D48" s="40">
        <f>O30*D30</f>
        <v>10.8</v>
      </c>
      <c r="E48" s="17"/>
      <c r="F48" s="44"/>
      <c r="G48" s="17"/>
      <c r="H48" s="44"/>
      <c r="I48" s="17"/>
      <c r="J48" s="44"/>
      <c r="K48" s="44"/>
      <c r="L48" s="44"/>
      <c r="M48" s="18"/>
      <c r="O48" s="39"/>
      <c r="P48" s="39"/>
      <c r="Q48" s="48"/>
      <c r="R48" s="39"/>
      <c r="S48" s="39"/>
    </row>
    <row r="49" spans="1:19" s="20" customFormat="1" ht="28.5" customHeight="1" x14ac:dyDescent="0.3">
      <c r="A49" s="12" t="s">
        <v>495</v>
      </c>
      <c r="B49" s="25" t="s">
        <v>379</v>
      </c>
      <c r="C49" s="37" t="s">
        <v>380</v>
      </c>
      <c r="D49" s="40">
        <f>O31*D31</f>
        <v>5.4</v>
      </c>
      <c r="E49" s="17"/>
      <c r="F49" s="44"/>
      <c r="G49" s="17"/>
      <c r="H49" s="44"/>
      <c r="I49" s="17"/>
      <c r="J49" s="44"/>
      <c r="K49" s="44"/>
      <c r="L49" s="44"/>
      <c r="M49" s="18"/>
      <c r="O49" s="47"/>
      <c r="P49" s="47"/>
      <c r="Q49" s="48"/>
      <c r="R49" s="47"/>
      <c r="S49" s="47"/>
    </row>
    <row r="50" spans="1:19" s="20" customFormat="1" ht="28.5" customHeight="1" x14ac:dyDescent="0.3">
      <c r="A50" s="12" t="s">
        <v>544</v>
      </c>
      <c r="B50" s="25" t="s">
        <v>379</v>
      </c>
      <c r="C50" s="37" t="s">
        <v>380</v>
      </c>
      <c r="D50" s="40">
        <f>O32*D32</f>
        <v>7.6499999999999995</v>
      </c>
      <c r="E50" s="17"/>
      <c r="F50" s="44"/>
      <c r="G50" s="17"/>
      <c r="H50" s="44"/>
      <c r="I50" s="17"/>
      <c r="J50" s="44"/>
      <c r="K50" s="44"/>
      <c r="L50" s="44"/>
      <c r="M50" s="18"/>
      <c r="O50" s="47"/>
      <c r="P50" s="47"/>
      <c r="Q50" s="47"/>
      <c r="R50" s="47"/>
      <c r="S50" s="47"/>
    </row>
    <row r="51" spans="1:19" s="20" customFormat="1" ht="28.5" customHeight="1" x14ac:dyDescent="0.3">
      <c r="A51" s="12" t="s">
        <v>498</v>
      </c>
      <c r="B51" s="25" t="s">
        <v>379</v>
      </c>
      <c r="C51" s="37" t="s">
        <v>380</v>
      </c>
      <c r="D51" s="40">
        <f>O33*D33</f>
        <v>2.25</v>
      </c>
      <c r="E51" s="17"/>
      <c r="F51" s="44"/>
      <c r="G51" s="17"/>
      <c r="H51" s="44"/>
      <c r="I51" s="17"/>
      <c r="J51" s="44"/>
      <c r="K51" s="44"/>
      <c r="L51" s="44"/>
      <c r="M51" s="18"/>
      <c r="O51" s="47"/>
      <c r="P51" s="47"/>
      <c r="Q51" s="47"/>
      <c r="R51" s="47"/>
      <c r="S51" s="47"/>
    </row>
    <row r="52" spans="1:19" s="20" customFormat="1" ht="28.5" customHeight="1" x14ac:dyDescent="0.3">
      <c r="A52" s="12" t="s">
        <v>500</v>
      </c>
      <c r="B52" s="25" t="s">
        <v>379</v>
      </c>
      <c r="C52" s="37" t="s">
        <v>380</v>
      </c>
      <c r="D52" s="40">
        <f>O34*D34</f>
        <v>5.3999999999999995</v>
      </c>
      <c r="E52" s="17"/>
      <c r="F52" s="61"/>
      <c r="G52" s="17"/>
      <c r="H52" s="61"/>
      <c r="I52" s="17"/>
      <c r="J52" s="61"/>
      <c r="K52" s="61"/>
      <c r="L52" s="61"/>
      <c r="M52" s="18"/>
      <c r="O52" s="47"/>
      <c r="P52" s="47"/>
      <c r="Q52" s="47"/>
      <c r="R52" s="47"/>
      <c r="S52" s="47"/>
    </row>
    <row r="53" spans="1:19" s="20" customFormat="1" ht="28.5" customHeight="1" x14ac:dyDescent="0.3">
      <c r="A53" s="12" t="s">
        <v>545</v>
      </c>
      <c r="B53" s="25" t="s">
        <v>379</v>
      </c>
      <c r="C53" s="37" t="s">
        <v>380</v>
      </c>
      <c r="D53" s="40">
        <f>O35*D35</f>
        <v>3.5999999999999996</v>
      </c>
      <c r="E53" s="17"/>
      <c r="F53" s="61"/>
      <c r="G53" s="17"/>
      <c r="H53" s="61"/>
      <c r="I53" s="17"/>
      <c r="J53" s="61"/>
      <c r="K53" s="61"/>
      <c r="L53" s="61"/>
      <c r="M53" s="18"/>
      <c r="O53" s="47"/>
      <c r="P53" s="47"/>
      <c r="Q53" s="47"/>
      <c r="R53" s="47"/>
      <c r="S53" s="47"/>
    </row>
    <row r="54" spans="1:19" s="20" customFormat="1" ht="28.5" customHeight="1" x14ac:dyDescent="0.3">
      <c r="A54" s="12" t="s">
        <v>502</v>
      </c>
      <c r="B54" s="25" t="s">
        <v>379</v>
      </c>
      <c r="C54" s="37" t="s">
        <v>380</v>
      </c>
      <c r="D54" s="40">
        <f>O36*D36</f>
        <v>3.6</v>
      </c>
      <c r="E54" s="17"/>
      <c r="F54" s="61"/>
      <c r="G54" s="17"/>
      <c r="H54" s="61"/>
      <c r="I54" s="17"/>
      <c r="J54" s="61"/>
      <c r="K54" s="61"/>
      <c r="L54" s="61"/>
      <c r="M54" s="18"/>
      <c r="O54" s="47"/>
      <c r="P54" s="47"/>
      <c r="Q54" s="47"/>
      <c r="R54" s="47"/>
      <c r="S54" s="47"/>
    </row>
    <row r="55" spans="1:19" s="20" customFormat="1" ht="28.5" customHeight="1" x14ac:dyDescent="0.3">
      <c r="A55" s="12" t="s">
        <v>504</v>
      </c>
      <c r="B55" s="25" t="s">
        <v>379</v>
      </c>
      <c r="C55" s="37" t="s">
        <v>380</v>
      </c>
      <c r="D55" s="40">
        <f>O37*D37</f>
        <v>11.520000000000001</v>
      </c>
      <c r="E55" s="17"/>
      <c r="F55" s="61"/>
      <c r="G55" s="17"/>
      <c r="H55" s="61"/>
      <c r="I55" s="17"/>
      <c r="J55" s="61"/>
      <c r="K55" s="61"/>
      <c r="L55" s="61"/>
      <c r="M55" s="18"/>
      <c r="O55" s="47"/>
      <c r="P55" s="47"/>
      <c r="Q55" s="47"/>
      <c r="R55" s="47"/>
      <c r="S55" s="47"/>
    </row>
    <row r="56" spans="1:19" s="20" customFormat="1" ht="28.5" customHeight="1" x14ac:dyDescent="0.3">
      <c r="A56" s="12" t="s">
        <v>546</v>
      </c>
      <c r="B56" s="25" t="s">
        <v>379</v>
      </c>
      <c r="C56" s="37" t="s">
        <v>380</v>
      </c>
      <c r="D56" s="40">
        <f>O38*D38</f>
        <v>5.7600000000000007</v>
      </c>
      <c r="E56" s="17"/>
      <c r="F56" s="44"/>
      <c r="G56" s="17"/>
      <c r="H56" s="44"/>
      <c r="I56" s="17"/>
      <c r="J56" s="44"/>
      <c r="K56" s="44"/>
      <c r="L56" s="44"/>
      <c r="M56" s="18"/>
      <c r="O56" s="47"/>
      <c r="P56" s="47"/>
      <c r="Q56" s="47"/>
      <c r="R56" s="47"/>
      <c r="S56" s="47"/>
    </row>
    <row r="57" spans="1:19" s="20" customFormat="1" ht="28.5" customHeight="1" x14ac:dyDescent="0.3">
      <c r="A57" s="12" t="s">
        <v>506</v>
      </c>
      <c r="B57" s="25" t="s">
        <v>379</v>
      </c>
      <c r="C57" s="37" t="s">
        <v>380</v>
      </c>
      <c r="D57" s="40">
        <f>O39*D39</f>
        <v>2.4000000000000004</v>
      </c>
      <c r="E57" s="17"/>
      <c r="F57" s="44"/>
      <c r="G57" s="17"/>
      <c r="H57" s="44"/>
      <c r="I57" s="17"/>
      <c r="J57" s="44"/>
      <c r="K57" s="44"/>
      <c r="L57" s="44"/>
      <c r="M57" s="18"/>
      <c r="O57" s="47"/>
      <c r="P57" s="47"/>
      <c r="Q57" s="47"/>
      <c r="R57" s="47"/>
      <c r="S57" s="47"/>
    </row>
    <row r="58" spans="1:19" s="20" customFormat="1" ht="28.5" customHeight="1" x14ac:dyDescent="0.3">
      <c r="A58" s="15" t="s">
        <v>376</v>
      </c>
      <c r="B58" s="15"/>
      <c r="C58" s="22" t="s">
        <v>377</v>
      </c>
      <c r="D58" s="40">
        <v>2</v>
      </c>
      <c r="E58" s="17"/>
      <c r="F58" s="44"/>
      <c r="G58" s="17"/>
      <c r="H58" s="44"/>
      <c r="I58" s="17"/>
      <c r="J58" s="44"/>
      <c r="K58" s="44"/>
      <c r="L58" s="44"/>
      <c r="M58" s="18"/>
      <c r="O58" s="68">
        <f>SUM(D25:D39)</f>
        <v>50</v>
      </c>
      <c r="P58" s="47"/>
      <c r="Q58" s="47"/>
      <c r="R58" s="47"/>
      <c r="S58" s="47"/>
    </row>
    <row r="59" spans="1:19" s="58" customFormat="1" ht="28.5" customHeight="1" x14ac:dyDescent="0.3">
      <c r="A59" s="54" t="s">
        <v>374</v>
      </c>
      <c r="B59" s="54"/>
      <c r="C59" s="54"/>
      <c r="D59" s="55"/>
      <c r="E59" s="56"/>
      <c r="F59" s="56"/>
      <c r="G59" s="56"/>
      <c r="H59" s="56"/>
      <c r="I59" s="56"/>
      <c r="J59" s="56"/>
      <c r="K59" s="56"/>
      <c r="L59" s="56"/>
      <c r="M59" s="54"/>
      <c r="O59" s="59"/>
      <c r="P59" s="59"/>
      <c r="Q59" s="59"/>
      <c r="R59" s="59"/>
      <c r="S59" s="59"/>
    </row>
    <row r="60" spans="1:19" s="20" customFormat="1" ht="28.5" customHeight="1" x14ac:dyDescent="0.3">
      <c r="A60" s="46" t="s">
        <v>485</v>
      </c>
      <c r="B60" s="15"/>
      <c r="C60" s="22"/>
      <c r="D60" s="40"/>
      <c r="E60" s="17"/>
      <c r="F60" s="29"/>
      <c r="G60" s="17"/>
      <c r="H60" s="29"/>
      <c r="I60" s="17"/>
      <c r="J60" s="29"/>
      <c r="K60" s="29"/>
      <c r="L60" s="29"/>
      <c r="M60" s="18"/>
    </row>
    <row r="61" spans="1:19" s="20" customFormat="1" ht="28.5" customHeight="1" x14ac:dyDescent="0.3">
      <c r="A61" s="15" t="s">
        <v>553</v>
      </c>
      <c r="B61" s="15" t="s">
        <v>554</v>
      </c>
      <c r="C61" s="22" t="s">
        <v>375</v>
      </c>
      <c r="D61" s="40">
        <v>6</v>
      </c>
      <c r="E61" s="17"/>
      <c r="F61" s="44"/>
      <c r="G61" s="17"/>
      <c r="H61" s="44"/>
      <c r="I61" s="17"/>
      <c r="J61" s="44"/>
      <c r="K61" s="44"/>
      <c r="L61" s="44"/>
      <c r="M61" s="18"/>
    </row>
    <row r="62" spans="1:19" s="20" customFormat="1" ht="28.5" customHeight="1" x14ac:dyDescent="0.3">
      <c r="A62" s="15" t="s">
        <v>547</v>
      </c>
      <c r="B62" s="15" t="s">
        <v>550</v>
      </c>
      <c r="C62" s="37" t="s">
        <v>380</v>
      </c>
      <c r="D62" s="92">
        <v>1078.9000000000001</v>
      </c>
      <c r="E62" s="17"/>
      <c r="F62" s="44"/>
      <c r="G62" s="17"/>
      <c r="H62" s="44"/>
      <c r="I62" s="17"/>
      <c r="J62" s="44"/>
      <c r="K62" s="44"/>
      <c r="L62" s="44"/>
      <c r="M62" s="18"/>
    </row>
    <row r="63" spans="1:19" s="20" customFormat="1" ht="28.5" customHeight="1" x14ac:dyDescent="0.3">
      <c r="A63" s="22" t="s">
        <v>508</v>
      </c>
      <c r="B63" s="13" t="s">
        <v>548</v>
      </c>
      <c r="C63" s="22" t="s">
        <v>391</v>
      </c>
      <c r="D63" s="16">
        <v>1</v>
      </c>
      <c r="E63" s="29"/>
      <c r="F63" s="44"/>
      <c r="G63" s="29"/>
      <c r="H63" s="44"/>
      <c r="I63" s="29"/>
      <c r="J63" s="44"/>
      <c r="K63" s="44"/>
      <c r="L63" s="44"/>
      <c r="M63" s="18"/>
    </row>
    <row r="64" spans="1:19" s="53" customFormat="1" ht="28.5" customHeight="1" x14ac:dyDescent="0.3">
      <c r="A64" s="49" t="s">
        <v>374</v>
      </c>
      <c r="B64" s="49"/>
      <c r="C64" s="49"/>
      <c r="D64" s="50"/>
      <c r="E64" s="51"/>
      <c r="F64" s="51"/>
      <c r="G64" s="51"/>
      <c r="H64" s="51"/>
      <c r="I64" s="51"/>
      <c r="J64" s="51"/>
      <c r="K64" s="51"/>
      <c r="L64" s="51"/>
      <c r="M64" s="52"/>
    </row>
    <row r="65" spans="1:13" s="20" customFormat="1" ht="28.5" customHeight="1" x14ac:dyDescent="0.3">
      <c r="A65" s="46" t="s">
        <v>488</v>
      </c>
      <c r="B65" s="15" t="s">
        <v>509</v>
      </c>
      <c r="C65" s="22" t="s">
        <v>385</v>
      </c>
      <c r="D65" s="96">
        <v>9</v>
      </c>
      <c r="E65" s="17"/>
      <c r="F65" s="29"/>
      <c r="G65" s="17"/>
      <c r="H65" s="29"/>
      <c r="I65" s="17"/>
      <c r="J65" s="44"/>
      <c r="K65" s="44"/>
      <c r="L65" s="44"/>
      <c r="M65" s="18"/>
    </row>
    <row r="66" spans="1:13" s="20" customFormat="1" ht="28.5" customHeight="1" x14ac:dyDescent="0.3">
      <c r="A66" s="28"/>
      <c r="B66" s="15"/>
      <c r="C66" s="15"/>
      <c r="D66" s="16"/>
      <c r="E66" s="17"/>
      <c r="F66" s="29"/>
      <c r="G66" s="29"/>
      <c r="H66" s="29"/>
      <c r="I66" s="29"/>
      <c r="J66" s="29"/>
      <c r="K66" s="29"/>
      <c r="L66" s="29"/>
      <c r="M66" s="18"/>
    </row>
    <row r="67" spans="1:13" s="20" customFormat="1" ht="28.5" customHeight="1" x14ac:dyDescent="0.3">
      <c r="A67" s="21"/>
      <c r="B67" s="15"/>
      <c r="C67" s="15"/>
      <c r="D67" s="16"/>
      <c r="E67" s="17"/>
      <c r="F67" s="17"/>
      <c r="G67" s="17"/>
      <c r="H67" s="17"/>
      <c r="I67" s="17"/>
      <c r="J67" s="17"/>
      <c r="K67" s="17"/>
      <c r="L67" s="17"/>
      <c r="M67" s="18"/>
    </row>
    <row r="68" spans="1:13" s="20" customFormat="1" ht="28.5" customHeight="1" x14ac:dyDescent="0.3">
      <c r="A68" s="21"/>
      <c r="B68" s="15"/>
      <c r="C68" s="18"/>
      <c r="D68" s="17"/>
      <c r="E68" s="17"/>
      <c r="F68" s="17"/>
      <c r="G68" s="17"/>
      <c r="H68" s="17"/>
      <c r="I68" s="17"/>
      <c r="J68" s="17"/>
      <c r="K68" s="17"/>
      <c r="L68" s="17"/>
      <c r="M68" s="18"/>
    </row>
    <row r="69" spans="1:13" s="20" customFormat="1" ht="28.5" customHeight="1" x14ac:dyDescent="0.3">
      <c r="A69" s="22"/>
      <c r="B69" s="22"/>
      <c r="C69" s="22"/>
      <c r="D69" s="29"/>
      <c r="E69" s="29"/>
      <c r="F69" s="29"/>
      <c r="G69" s="29"/>
      <c r="H69" s="29"/>
      <c r="I69" s="29"/>
      <c r="J69" s="29"/>
      <c r="K69" s="29"/>
      <c r="L69" s="29"/>
      <c r="M69" s="18"/>
    </row>
    <row r="70" spans="1:13" s="20" customFormat="1" ht="28.5" customHeight="1" x14ac:dyDescent="0.3">
      <c r="A70" s="22"/>
      <c r="B70" s="22"/>
      <c r="C70" s="22"/>
      <c r="D70" s="29"/>
      <c r="E70" s="29"/>
      <c r="F70" s="29"/>
      <c r="G70" s="29"/>
      <c r="H70" s="29"/>
      <c r="I70" s="29"/>
      <c r="J70" s="29"/>
      <c r="K70" s="29"/>
      <c r="L70" s="29"/>
      <c r="M70" s="18"/>
    </row>
    <row r="71" spans="1:13" s="20" customFormat="1" ht="28.5" customHeight="1" x14ac:dyDescent="0.3">
      <c r="A71" s="22"/>
      <c r="B71" s="22"/>
      <c r="C71" s="22"/>
      <c r="D71" s="29"/>
      <c r="E71" s="29"/>
      <c r="F71" s="29"/>
      <c r="G71" s="29"/>
      <c r="H71" s="29"/>
      <c r="I71" s="29"/>
      <c r="J71" s="29"/>
      <c r="K71" s="29"/>
      <c r="L71" s="29"/>
      <c r="M71" s="18"/>
    </row>
    <row r="72" spans="1:13" s="20" customFormat="1" ht="28.5" customHeight="1" x14ac:dyDescent="0.3">
      <c r="A72" s="18"/>
      <c r="B72" s="18"/>
      <c r="C72" s="18"/>
      <c r="D72" s="30"/>
      <c r="E72" s="17"/>
      <c r="F72" s="17"/>
      <c r="G72" s="17"/>
      <c r="H72" s="17"/>
      <c r="I72" s="17"/>
      <c r="J72" s="17"/>
      <c r="K72" s="17"/>
      <c r="L72" s="17"/>
      <c r="M72" s="18"/>
    </row>
    <row r="73" spans="1:13" s="20" customFormat="1" ht="28.5" customHeight="1" x14ac:dyDescent="0.3">
      <c r="A73" s="21"/>
      <c r="B73" s="15"/>
      <c r="C73" s="15"/>
      <c r="D73" s="16"/>
      <c r="E73" s="17"/>
      <c r="F73" s="17"/>
      <c r="G73" s="17"/>
      <c r="H73" s="17"/>
      <c r="I73" s="17"/>
      <c r="J73" s="17"/>
      <c r="K73" s="17"/>
      <c r="L73" s="17"/>
      <c r="M73" s="18"/>
    </row>
    <row r="74" spans="1:13" s="20" customFormat="1" ht="28.5" customHeight="1" x14ac:dyDescent="0.3">
      <c r="A74" s="15"/>
      <c r="B74" s="15"/>
      <c r="C74" s="22"/>
      <c r="D74" s="16"/>
      <c r="E74" s="17"/>
      <c r="F74" s="17"/>
      <c r="G74" s="17"/>
      <c r="H74" s="17"/>
      <c r="I74" s="17"/>
      <c r="J74" s="17"/>
      <c r="K74" s="29"/>
      <c r="L74" s="29"/>
      <c r="M74" s="18"/>
    </row>
    <row r="75" spans="1:13" s="20" customFormat="1" ht="28.5" customHeight="1" x14ac:dyDescent="0.3">
      <c r="A75" s="15"/>
      <c r="B75" s="15"/>
      <c r="C75" s="15"/>
      <c r="D75" s="16"/>
      <c r="E75" s="17"/>
      <c r="F75" s="17"/>
      <c r="G75" s="17"/>
      <c r="H75" s="17"/>
      <c r="I75" s="17"/>
      <c r="J75" s="17"/>
      <c r="K75" s="29"/>
      <c r="L75" s="29"/>
      <c r="M75" s="18"/>
    </row>
    <row r="76" spans="1:13" s="20" customFormat="1" ht="28.5" customHeight="1" x14ac:dyDescent="0.3">
      <c r="A76" s="18"/>
      <c r="B76" s="18"/>
      <c r="C76" s="18"/>
      <c r="D76" s="30"/>
      <c r="E76" s="17"/>
      <c r="F76" s="17"/>
      <c r="G76" s="17"/>
      <c r="H76" s="17"/>
      <c r="I76" s="17"/>
      <c r="J76" s="17"/>
      <c r="K76" s="17"/>
      <c r="L76" s="17"/>
      <c r="M76" s="18"/>
    </row>
    <row r="77" spans="1:13" s="20" customFormat="1" ht="28.5" customHeight="1" x14ac:dyDescent="0.3">
      <c r="A77" s="21"/>
      <c r="B77" s="15"/>
      <c r="C77" s="15"/>
      <c r="D77" s="16"/>
      <c r="E77" s="17"/>
      <c r="F77" s="17"/>
      <c r="G77" s="17"/>
      <c r="H77" s="17"/>
      <c r="I77" s="17"/>
      <c r="J77" s="17"/>
      <c r="K77" s="29"/>
      <c r="L77" s="29"/>
      <c r="M77" s="18"/>
    </row>
    <row r="78" spans="1:13" s="20" customFormat="1" ht="28.5" customHeight="1" x14ac:dyDescent="0.3">
      <c r="A78" s="15"/>
      <c r="B78" s="15"/>
      <c r="C78" s="22"/>
      <c r="D78" s="16"/>
      <c r="E78" s="17"/>
      <c r="F78" s="29"/>
      <c r="G78" s="17"/>
      <c r="H78" s="29"/>
      <c r="I78" s="17"/>
      <c r="J78" s="29"/>
      <c r="K78" s="29"/>
      <c r="L78" s="29"/>
      <c r="M78" s="18"/>
    </row>
    <row r="79" spans="1:13" s="20" customFormat="1" ht="28.5" customHeight="1" x14ac:dyDescent="0.3">
      <c r="A79" s="15"/>
      <c r="B79" s="15"/>
      <c r="C79" s="22"/>
      <c r="D79" s="16"/>
      <c r="E79" s="17"/>
      <c r="F79" s="29"/>
      <c r="G79" s="17"/>
      <c r="H79" s="29"/>
      <c r="I79" s="17"/>
      <c r="J79" s="29"/>
      <c r="K79" s="29"/>
      <c r="L79" s="29"/>
      <c r="M79" s="18"/>
    </row>
    <row r="80" spans="1:13" s="20" customFormat="1" ht="28.5" customHeight="1" x14ac:dyDescent="0.3">
      <c r="A80" s="22"/>
      <c r="B80" s="22"/>
      <c r="C80" s="22"/>
      <c r="D80" s="16"/>
      <c r="E80" s="29"/>
      <c r="F80" s="29"/>
      <c r="G80" s="29"/>
      <c r="H80" s="29"/>
      <c r="I80" s="29"/>
      <c r="J80" s="29"/>
      <c r="K80" s="29"/>
      <c r="L80" s="29"/>
      <c r="M80" s="18"/>
    </row>
    <row r="81" spans="1:13" s="20" customFormat="1" ht="28.5" customHeight="1" x14ac:dyDescent="0.3">
      <c r="A81" s="22"/>
      <c r="B81" s="22"/>
      <c r="C81" s="22"/>
      <c r="D81" s="16"/>
      <c r="E81" s="23"/>
      <c r="F81" s="23"/>
      <c r="G81" s="23"/>
      <c r="H81" s="23"/>
      <c r="I81" s="23"/>
      <c r="J81" s="23"/>
      <c r="K81" s="23"/>
      <c r="L81" s="23"/>
      <c r="M81" s="18"/>
    </row>
    <row r="82" spans="1:13" s="20" customFormat="1" ht="28.5" customHeight="1" x14ac:dyDescent="0.3">
      <c r="A82" s="15"/>
      <c r="B82" s="15"/>
      <c r="C82" s="22"/>
      <c r="D82" s="16"/>
      <c r="E82" s="17"/>
      <c r="F82" s="23"/>
      <c r="G82" s="17"/>
      <c r="H82" s="23"/>
      <c r="I82" s="17"/>
      <c r="J82" s="23"/>
      <c r="K82" s="23"/>
      <c r="L82" s="23"/>
      <c r="M82" s="18"/>
    </row>
    <row r="83" spans="1:13" s="20" customFormat="1" ht="28.5" customHeight="1" x14ac:dyDescent="0.3">
      <c r="A83" s="28"/>
      <c r="B83" s="15"/>
      <c r="C83" s="15"/>
      <c r="D83" s="16"/>
      <c r="E83" s="17"/>
      <c r="F83" s="23"/>
      <c r="G83" s="23"/>
      <c r="H83" s="23"/>
      <c r="I83" s="23"/>
      <c r="J83" s="23"/>
      <c r="K83" s="23"/>
      <c r="L83" s="23"/>
      <c r="M83" s="18"/>
    </row>
    <row r="84" spans="1:13" s="20" customFormat="1" ht="28.5" customHeight="1" x14ac:dyDescent="0.3">
      <c r="A84" s="19"/>
      <c r="B84" s="19"/>
      <c r="C84" s="19"/>
      <c r="D84" s="31"/>
      <c r="E84" s="32"/>
      <c r="F84" s="31"/>
      <c r="G84" s="32"/>
      <c r="H84" s="31"/>
      <c r="I84" s="32"/>
      <c r="J84" s="31"/>
      <c r="K84" s="32"/>
      <c r="L84" s="31"/>
      <c r="M84" s="19"/>
    </row>
    <row r="85" spans="1:13" s="20" customFormat="1" ht="28.5" customHeight="1" x14ac:dyDescent="0.3">
      <c r="A85" s="19"/>
      <c r="B85" s="19"/>
      <c r="C85" s="19"/>
      <c r="D85" s="19"/>
      <c r="E85" s="33"/>
      <c r="F85" s="31"/>
      <c r="G85" s="31"/>
      <c r="H85" s="31"/>
      <c r="I85" s="31"/>
      <c r="J85" s="31"/>
      <c r="K85" s="31"/>
      <c r="L85" s="31"/>
      <c r="M85" s="19"/>
    </row>
  </sheetData>
  <mergeCells count="11">
    <mergeCell ref="M3:M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6" type="noConversion"/>
  <pageMargins left="0.51181102362204722" right="0.39370078740157483" top="0.47244094488188981" bottom="0.23622047244094491" header="0" footer="0.19685039370078741"/>
  <pageSetup paperSize="9" scale="64" fitToHeight="0" orientation="landscape" r:id="rId1"/>
  <headerFooter>
    <oddFooter>&amp;N페이지 중 &amp;P페이지</oddFooter>
  </headerFooter>
  <rowBreaks count="3" manualBreakCount="3">
    <brk id="28" max="12" man="1"/>
    <brk id="50" max="12" man="1"/>
    <brk id="8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/>
    <pageSetUpPr fitToPage="1"/>
  </sheetPr>
  <dimension ref="A1:J3"/>
  <sheetViews>
    <sheetView topLeftCell="B1" zoomScaleNormal="100" workbookViewId="0">
      <selection activeCell="A2" sqref="A2:AV2"/>
    </sheetView>
  </sheetViews>
  <sheetFormatPr defaultColWidth="9.125" defaultRowHeight="16.5" x14ac:dyDescent="0.3"/>
  <cols>
    <col min="1" max="1" width="9.125" hidden="1"/>
    <col min="2" max="3" width="30.625" customWidth="1"/>
    <col min="4" max="4" width="4.625" customWidth="1"/>
    <col min="5" max="8" width="13.625" customWidth="1"/>
    <col min="9" max="9" width="12.625" customWidth="1"/>
    <col min="10" max="10" width="9.125" hidden="1"/>
  </cols>
  <sheetData>
    <row r="1" spans="1:9" ht="30" customHeight="1" x14ac:dyDescent="0.3">
      <c r="A1" s="102" t="s">
        <v>94</v>
      </c>
      <c r="B1" s="102"/>
      <c r="C1" s="102"/>
      <c r="D1" s="102"/>
      <c r="E1" s="102"/>
      <c r="F1" s="102"/>
      <c r="G1" s="102"/>
      <c r="H1" s="102"/>
      <c r="I1" s="102"/>
    </row>
    <row r="2" spans="1:9" ht="30" customHeight="1" x14ac:dyDescent="0.3">
      <c r="A2" s="103" t="s">
        <v>369</v>
      </c>
      <c r="B2" s="103"/>
      <c r="C2" s="103"/>
      <c r="D2" s="103"/>
      <c r="E2" s="103"/>
      <c r="F2" s="103"/>
      <c r="G2" s="103"/>
      <c r="H2" s="103"/>
      <c r="I2" s="103"/>
    </row>
    <row r="3" spans="1:9" ht="30" customHeight="1" x14ac:dyDescent="0.3">
      <c r="A3" s="9" t="s">
        <v>43</v>
      </c>
      <c r="B3" s="9" t="s">
        <v>50</v>
      </c>
      <c r="C3" s="9" t="s">
        <v>178</v>
      </c>
      <c r="D3" s="9" t="s">
        <v>22</v>
      </c>
      <c r="E3" s="9" t="s">
        <v>186</v>
      </c>
      <c r="F3" s="9" t="s">
        <v>77</v>
      </c>
      <c r="G3" s="9" t="s">
        <v>120</v>
      </c>
      <c r="H3" s="9" t="s">
        <v>259</v>
      </c>
      <c r="I3" s="9" t="s">
        <v>305</v>
      </c>
    </row>
  </sheetData>
  <mergeCells count="2">
    <mergeCell ref="A1:I1"/>
    <mergeCell ref="A2:I2"/>
  </mergeCells>
  <phoneticPr fontId="6" type="noConversion"/>
  <pageMargins left="0.78740157480314954" right="0" top="0.39370078740157477" bottom="0.37735849056603776" header="0" footer="0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/>
    <pageSetUpPr fitToPage="1"/>
  </sheetPr>
  <dimension ref="A1:I3"/>
  <sheetViews>
    <sheetView zoomScaleNormal="100" workbookViewId="0">
      <selection activeCell="A2" sqref="A2:AV2"/>
    </sheetView>
  </sheetViews>
  <sheetFormatPr defaultColWidth="9.125" defaultRowHeight="16.5" x14ac:dyDescent="0.3"/>
  <cols>
    <col min="1" max="1" width="77.625" customWidth="1"/>
    <col min="2" max="5" width="13.625" customWidth="1"/>
    <col min="6" max="6" width="12.625" customWidth="1"/>
    <col min="7" max="9" width="9.125" hidden="1"/>
  </cols>
  <sheetData>
    <row r="1" spans="1:6" ht="30" customHeight="1" x14ac:dyDescent="0.3">
      <c r="A1" s="102" t="s">
        <v>336</v>
      </c>
      <c r="B1" s="102"/>
      <c r="C1" s="102"/>
      <c r="D1" s="102"/>
      <c r="E1" s="102"/>
      <c r="F1" s="102"/>
    </row>
    <row r="2" spans="1:6" ht="30" customHeight="1" x14ac:dyDescent="0.3">
      <c r="A2" s="103" t="s">
        <v>369</v>
      </c>
      <c r="B2" s="103"/>
      <c r="C2" s="103"/>
      <c r="D2" s="103"/>
      <c r="E2" s="103"/>
      <c r="F2" s="103"/>
    </row>
    <row r="3" spans="1:6" ht="30" customHeight="1" x14ac:dyDescent="0.3">
      <c r="A3" s="9" t="s">
        <v>17</v>
      </c>
      <c r="B3" s="9" t="s">
        <v>186</v>
      </c>
      <c r="C3" s="9" t="s">
        <v>77</v>
      </c>
      <c r="D3" s="9" t="s">
        <v>131</v>
      </c>
      <c r="E3" s="9" t="s">
        <v>157</v>
      </c>
      <c r="F3" s="9" t="s">
        <v>12</v>
      </c>
    </row>
  </sheetData>
  <mergeCells count="2">
    <mergeCell ref="A1:F1"/>
    <mergeCell ref="A2:F2"/>
  </mergeCells>
  <phoneticPr fontId="6" type="noConversion"/>
  <pageMargins left="0.78740157480314954" right="0" top="0.39370078740157477" bottom="0.37735849056603776" header="0" footer="0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/>
    <pageSetUpPr fitToPage="1"/>
  </sheetPr>
  <dimension ref="A1:AN63"/>
  <sheetViews>
    <sheetView topLeftCell="B1" zoomScaleNormal="100" workbookViewId="0">
      <selection activeCell="A2" sqref="A2:AV2"/>
    </sheetView>
  </sheetViews>
  <sheetFormatPr defaultColWidth="9.125" defaultRowHeight="16.5" x14ac:dyDescent="0.3"/>
  <cols>
    <col min="1" max="1" width="9.125" hidden="1"/>
    <col min="2" max="2" width="29.625" customWidth="1"/>
    <col min="3" max="3" width="27.5" customWidth="1"/>
    <col min="4" max="4" width="5.5" customWidth="1"/>
    <col min="5" max="5" width="10.25" customWidth="1"/>
    <col min="6" max="6" width="6.625" customWidth="1"/>
    <col min="7" max="7" width="9.5" customWidth="1"/>
    <col min="8" max="8" width="6.625" customWidth="1"/>
    <col min="9" max="9" width="9.5" customWidth="1"/>
    <col min="10" max="10" width="6.625" customWidth="1"/>
    <col min="11" max="11" width="9.5" customWidth="1"/>
    <col min="12" max="12" width="6.625" customWidth="1"/>
    <col min="13" max="13" width="9.5" customWidth="1"/>
    <col min="14" max="14" width="6.625" customWidth="1"/>
    <col min="15" max="15" width="9.5" customWidth="1"/>
    <col min="16" max="16" width="6.625" customWidth="1"/>
    <col min="17" max="17" width="9.5" customWidth="1"/>
    <col min="18" max="18" width="6.625" customWidth="1"/>
    <col min="19" max="19" width="9.5" customWidth="1"/>
    <col min="20" max="20" width="6.625" customWidth="1"/>
    <col min="21" max="22" width="9.25" customWidth="1"/>
    <col min="23" max="23" width="10.25" customWidth="1"/>
    <col min="24" max="30" width="9.5" customWidth="1"/>
    <col min="31" max="31" width="9.25" customWidth="1"/>
    <col min="32" max="32" width="6.75" customWidth="1"/>
    <col min="33" max="40" width="9.125" hidden="1"/>
  </cols>
  <sheetData>
    <row r="1" spans="1:39" ht="30" customHeight="1" x14ac:dyDescent="0.3">
      <c r="A1" s="102" t="s">
        <v>18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</row>
    <row r="2" spans="1:39" ht="30" customHeight="1" x14ac:dyDescent="0.3">
      <c r="A2" s="103" t="s">
        <v>369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</row>
    <row r="3" spans="1:39" ht="30" customHeight="1" x14ac:dyDescent="0.3">
      <c r="A3" s="111" t="s">
        <v>43</v>
      </c>
      <c r="B3" s="111" t="s">
        <v>234</v>
      </c>
      <c r="C3" s="111" t="s">
        <v>132</v>
      </c>
      <c r="D3" s="111" t="s">
        <v>22</v>
      </c>
      <c r="E3" s="104" t="s">
        <v>30</v>
      </c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6"/>
      <c r="V3" s="111" t="s">
        <v>77</v>
      </c>
      <c r="W3" s="104" t="s">
        <v>120</v>
      </c>
      <c r="X3" s="105"/>
      <c r="Y3" s="105"/>
      <c r="Z3" s="105"/>
      <c r="AA3" s="105"/>
      <c r="AB3" s="105"/>
      <c r="AC3" s="105"/>
      <c r="AD3" s="105"/>
      <c r="AE3" s="106"/>
      <c r="AF3" s="111" t="s">
        <v>282</v>
      </c>
      <c r="AG3" s="114" t="s">
        <v>358</v>
      </c>
      <c r="AH3" s="113" t="s">
        <v>54</v>
      </c>
      <c r="AI3" s="113" t="s">
        <v>187</v>
      </c>
      <c r="AJ3" s="113" t="s">
        <v>159</v>
      </c>
      <c r="AK3" s="113" t="s">
        <v>123</v>
      </c>
      <c r="AL3" s="113" t="s">
        <v>60</v>
      </c>
      <c r="AM3" s="113" t="s">
        <v>270</v>
      </c>
    </row>
    <row r="4" spans="1:39" ht="30" customHeight="1" x14ac:dyDescent="0.3">
      <c r="A4" s="112"/>
      <c r="B4" s="112"/>
      <c r="C4" s="112"/>
      <c r="D4" s="112"/>
      <c r="E4" s="9" t="s">
        <v>355</v>
      </c>
      <c r="F4" s="9" t="s">
        <v>57</v>
      </c>
      <c r="G4" s="9" t="s">
        <v>235</v>
      </c>
      <c r="H4" s="9" t="s">
        <v>57</v>
      </c>
      <c r="I4" s="9" t="s">
        <v>275</v>
      </c>
      <c r="J4" s="9" t="s">
        <v>57</v>
      </c>
      <c r="K4" s="9" t="s">
        <v>3</v>
      </c>
      <c r="L4" s="9" t="s">
        <v>57</v>
      </c>
      <c r="M4" s="9" t="s">
        <v>105</v>
      </c>
      <c r="N4" s="9" t="s">
        <v>57</v>
      </c>
      <c r="O4" s="9" t="s">
        <v>24</v>
      </c>
      <c r="P4" s="9" t="s">
        <v>57</v>
      </c>
      <c r="Q4" s="9" t="s">
        <v>112</v>
      </c>
      <c r="R4" s="9" t="s">
        <v>57</v>
      </c>
      <c r="S4" s="9" t="s">
        <v>176</v>
      </c>
      <c r="T4" s="9" t="s">
        <v>57</v>
      </c>
      <c r="U4" s="9" t="s">
        <v>162</v>
      </c>
      <c r="V4" s="112"/>
      <c r="W4" s="9" t="s">
        <v>355</v>
      </c>
      <c r="X4" s="9" t="s">
        <v>235</v>
      </c>
      <c r="Y4" s="9" t="s">
        <v>275</v>
      </c>
      <c r="Z4" s="9" t="s">
        <v>3</v>
      </c>
      <c r="AA4" s="9" t="s">
        <v>105</v>
      </c>
      <c r="AB4" s="9" t="s">
        <v>24</v>
      </c>
      <c r="AC4" s="9" t="s">
        <v>112</v>
      </c>
      <c r="AD4" s="9" t="s">
        <v>176</v>
      </c>
      <c r="AE4" s="9" t="s">
        <v>162</v>
      </c>
      <c r="AF4" s="112"/>
      <c r="AG4" s="114"/>
      <c r="AH4" s="113"/>
      <c r="AI4" s="113"/>
      <c r="AJ4" s="113"/>
      <c r="AK4" s="113"/>
      <c r="AL4" s="113"/>
      <c r="AM4" s="113"/>
    </row>
    <row r="5" spans="1:39" ht="30" customHeight="1" x14ac:dyDescent="0.3">
      <c r="A5" s="3" t="s">
        <v>288</v>
      </c>
      <c r="B5" s="3" t="s">
        <v>185</v>
      </c>
      <c r="C5" s="3" t="s">
        <v>0</v>
      </c>
      <c r="D5" s="3" t="s">
        <v>51</v>
      </c>
      <c r="E5" s="1">
        <v>7313</v>
      </c>
      <c r="F5" s="3"/>
      <c r="G5" s="1">
        <v>10245.9</v>
      </c>
      <c r="H5" s="3" t="s">
        <v>113</v>
      </c>
      <c r="I5" s="6">
        <v>0</v>
      </c>
      <c r="J5" s="3"/>
      <c r="K5" s="6">
        <v>0</v>
      </c>
      <c r="L5" s="3" t="s">
        <v>300</v>
      </c>
      <c r="M5" s="6">
        <v>0</v>
      </c>
      <c r="N5" s="3"/>
      <c r="O5" s="6">
        <v>0</v>
      </c>
      <c r="P5" s="3" t="s">
        <v>300</v>
      </c>
      <c r="Q5" s="6">
        <v>0</v>
      </c>
      <c r="R5" s="3"/>
      <c r="S5" s="6">
        <v>0</v>
      </c>
      <c r="T5" s="3" t="s">
        <v>300</v>
      </c>
      <c r="U5" s="6">
        <f>ROUND(IF(MIN(E5,G5,I5,K5,M5,O5,Q5,S5)&lt;0, MIN(E5,G5,I5,K5,M5,O5,Q5,S5), SMALL(E5:T5,COUNTIF(E5:T5,0)+1)) * 공사설정!$C$24 / 100*AK5/ 100, 2)</f>
        <v>7313</v>
      </c>
      <c r="V5" s="6">
        <f>ROUND(0 * 공사설정!$C$25 / 100*AL5/ 100,2)</f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f>ROUND(IF(MIN(W5:AD5)=AVERAGE(W5:AD5), 0, IF(MIN(W5:AD5)&lt;0, MIN(W5:AD5), SMALL(W5:AD5,COUNTIF(W5:AD5,0)+1))) * 공사설정!$C$26 / 100*AM5/ 100,2)</f>
        <v>0</v>
      </c>
      <c r="AF5" s="3" t="s">
        <v>300</v>
      </c>
      <c r="AG5" s="3" t="s">
        <v>300</v>
      </c>
      <c r="AH5" s="3" t="s">
        <v>300</v>
      </c>
      <c r="AJ5" s="3" t="s">
        <v>300</v>
      </c>
      <c r="AK5" s="1">
        <v>100</v>
      </c>
      <c r="AL5" s="1">
        <v>100</v>
      </c>
      <c r="AM5" s="2">
        <v>100</v>
      </c>
    </row>
    <row r="6" spans="1:39" ht="30" customHeight="1" x14ac:dyDescent="0.3">
      <c r="A6" s="3" t="s">
        <v>212</v>
      </c>
      <c r="B6" s="3" t="s">
        <v>207</v>
      </c>
      <c r="C6" s="3" t="s">
        <v>348</v>
      </c>
      <c r="D6" s="3" t="s">
        <v>51</v>
      </c>
      <c r="E6" s="1">
        <v>444</v>
      </c>
      <c r="F6" s="3"/>
      <c r="G6" s="1">
        <v>3250</v>
      </c>
      <c r="H6" s="3" t="s">
        <v>150</v>
      </c>
      <c r="I6" s="6">
        <v>0</v>
      </c>
      <c r="J6" s="3"/>
      <c r="K6" s="6">
        <v>0</v>
      </c>
      <c r="L6" s="3" t="s">
        <v>300</v>
      </c>
      <c r="M6" s="6">
        <v>0</v>
      </c>
      <c r="N6" s="3"/>
      <c r="O6" s="6">
        <v>0</v>
      </c>
      <c r="P6" s="3" t="s">
        <v>300</v>
      </c>
      <c r="Q6" s="6">
        <v>0</v>
      </c>
      <c r="R6" s="3"/>
      <c r="S6" s="6">
        <v>0</v>
      </c>
      <c r="T6" s="3" t="s">
        <v>300</v>
      </c>
      <c r="U6" s="6">
        <f>ROUND(IF(MIN(E6,G6,I6,K6,M6,O6,Q6,S6)&lt;0, MIN(E6,G6,I6,K6,M6,O6,Q6,S6), SMALL(E6:T6,COUNTIF(E6:T6,0)+1)) * 공사설정!$C$24 / 100*AK6/ 100, 2)</f>
        <v>444</v>
      </c>
      <c r="V6" s="6">
        <f>ROUND(0 * 공사설정!$C$25 / 100*AL6/ 100,2)</f>
        <v>0</v>
      </c>
      <c r="W6" s="6">
        <v>0</v>
      </c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  <c r="AD6" s="6">
        <v>0</v>
      </c>
      <c r="AE6" s="6">
        <f>ROUND(IF(MIN(W6:AD6)=AVERAGE(W6:AD6), 0, IF(MIN(W6:AD6)&lt;0, MIN(W6:AD6), SMALL(W6:AD6,COUNTIF(W6:AD6,0)+1))) * 공사설정!$C$26 / 100*AM6/ 100,2)</f>
        <v>0</v>
      </c>
      <c r="AF6" s="3" t="s">
        <v>300</v>
      </c>
      <c r="AG6" s="3" t="s">
        <v>300</v>
      </c>
      <c r="AH6" s="3" t="s">
        <v>300</v>
      </c>
      <c r="AJ6" s="3" t="s">
        <v>300</v>
      </c>
      <c r="AK6" s="1">
        <v>100</v>
      </c>
      <c r="AL6" s="1">
        <v>100</v>
      </c>
      <c r="AM6" s="2">
        <v>100</v>
      </c>
    </row>
    <row r="7" spans="1:39" ht="30" customHeight="1" x14ac:dyDescent="0.3">
      <c r="A7" s="3" t="s">
        <v>108</v>
      </c>
      <c r="B7" s="3" t="s">
        <v>92</v>
      </c>
      <c r="C7" s="3" t="s">
        <v>59</v>
      </c>
      <c r="D7" s="3" t="s">
        <v>44</v>
      </c>
      <c r="E7" s="6">
        <v>0</v>
      </c>
      <c r="F7" s="3" t="s">
        <v>300</v>
      </c>
      <c r="G7" s="1">
        <v>4400</v>
      </c>
      <c r="H7" s="3" t="s">
        <v>175</v>
      </c>
      <c r="I7" s="6">
        <v>0</v>
      </c>
      <c r="J7" s="3"/>
      <c r="K7" s="6">
        <v>0</v>
      </c>
      <c r="L7" s="3" t="s">
        <v>300</v>
      </c>
      <c r="M7" s="6">
        <v>0</v>
      </c>
      <c r="N7" s="3"/>
      <c r="O7" s="6">
        <v>0</v>
      </c>
      <c r="P7" s="3" t="s">
        <v>300</v>
      </c>
      <c r="Q7" s="6">
        <v>0</v>
      </c>
      <c r="R7" s="3"/>
      <c r="S7" s="6">
        <v>0</v>
      </c>
      <c r="T7" s="3" t="s">
        <v>300</v>
      </c>
      <c r="U7" s="6">
        <f>ROUND(IF(MIN(E7,G7,I7,K7,M7,O7,Q7,S7)&lt;0, MIN(E7,G7,I7,K7,M7,O7,Q7,S7), SMALL(E7:T7,COUNTIF(E7:T7,0)+1)) * 공사설정!$C$24 / 100*AK7/ 100, 2)</f>
        <v>4400</v>
      </c>
      <c r="V7" s="6">
        <f>ROUND(0 * 공사설정!$C$25 / 100*AL7/ 100,2)</f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f>ROUND(IF(MIN(W7:AD7)=AVERAGE(W7:AD7), 0, IF(MIN(W7:AD7)&lt;0, MIN(W7:AD7), SMALL(W7:AD7,COUNTIF(W7:AD7,0)+1))) * 공사설정!$C$26 / 100*AM7/ 100,2)</f>
        <v>0</v>
      </c>
      <c r="AF7" s="3" t="s">
        <v>300</v>
      </c>
      <c r="AG7" s="3" t="s">
        <v>300</v>
      </c>
      <c r="AH7" s="3" t="s">
        <v>300</v>
      </c>
      <c r="AJ7" s="3" t="s">
        <v>300</v>
      </c>
      <c r="AK7" s="1">
        <v>100</v>
      </c>
      <c r="AL7" s="1">
        <v>100</v>
      </c>
      <c r="AM7" s="2">
        <v>100</v>
      </c>
    </row>
    <row r="8" spans="1:39" ht="30" customHeight="1" x14ac:dyDescent="0.3">
      <c r="A8" s="3" t="s">
        <v>154</v>
      </c>
      <c r="B8" s="3" t="s">
        <v>246</v>
      </c>
      <c r="C8" s="3" t="s">
        <v>101</v>
      </c>
      <c r="D8" s="3" t="s">
        <v>71</v>
      </c>
      <c r="E8" s="1">
        <v>2512</v>
      </c>
      <c r="F8" s="3"/>
      <c r="G8" s="1">
        <v>2500</v>
      </c>
      <c r="H8" s="3" t="s">
        <v>74</v>
      </c>
      <c r="I8" s="6">
        <v>0</v>
      </c>
      <c r="J8" s="3"/>
      <c r="K8" s="1">
        <v>2400</v>
      </c>
      <c r="L8" s="3" t="s">
        <v>160</v>
      </c>
      <c r="M8" s="6">
        <v>0</v>
      </c>
      <c r="N8" s="3"/>
      <c r="O8" s="6">
        <v>0</v>
      </c>
      <c r="P8" s="3" t="s">
        <v>300</v>
      </c>
      <c r="Q8" s="6">
        <v>0</v>
      </c>
      <c r="R8" s="3"/>
      <c r="S8" s="6">
        <v>0</v>
      </c>
      <c r="T8" s="3" t="s">
        <v>300</v>
      </c>
      <c r="U8" s="6">
        <f>ROUND(IF(MIN(E8,G8,I8,K8,M8,O8,Q8,S8)&lt;0, MIN(E8,G8,I8,K8,M8,O8,Q8,S8), SMALL(E8:T8,COUNTIF(E8:T8,0)+1)) * 공사설정!$C$24 / 100*AK8/ 100, 2)</f>
        <v>2400</v>
      </c>
      <c r="V8" s="6">
        <f>ROUND(0 * 공사설정!$C$25 / 100*AL8/ 100,2)</f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f>ROUND(IF(MIN(W8:AD8)=AVERAGE(W8:AD8), 0, IF(MIN(W8:AD8)&lt;0, MIN(W8:AD8), SMALL(W8:AD8,COUNTIF(W8:AD8,0)+1))) * 공사설정!$C$26 / 100*AM8/ 100,2)</f>
        <v>0</v>
      </c>
      <c r="AF8" s="3" t="s">
        <v>300</v>
      </c>
      <c r="AG8" s="3" t="s">
        <v>300</v>
      </c>
      <c r="AH8" s="3" t="s">
        <v>300</v>
      </c>
      <c r="AJ8" s="3" t="s">
        <v>300</v>
      </c>
      <c r="AK8" s="1">
        <v>100</v>
      </c>
      <c r="AL8" s="1">
        <v>100</v>
      </c>
      <c r="AM8" s="2">
        <v>100</v>
      </c>
    </row>
    <row r="9" spans="1:39" ht="30" customHeight="1" x14ac:dyDescent="0.3">
      <c r="A9" s="3" t="s">
        <v>21</v>
      </c>
      <c r="B9" s="3" t="s">
        <v>363</v>
      </c>
      <c r="C9" s="3" t="s">
        <v>191</v>
      </c>
      <c r="D9" s="3" t="s">
        <v>51</v>
      </c>
      <c r="E9" s="1">
        <v>3004</v>
      </c>
      <c r="F9" s="3"/>
      <c r="G9" s="1">
        <v>4280</v>
      </c>
      <c r="H9" s="3" t="s">
        <v>202</v>
      </c>
      <c r="I9" s="6">
        <v>0</v>
      </c>
      <c r="J9" s="3"/>
      <c r="K9" s="1">
        <v>9240</v>
      </c>
      <c r="L9" s="3" t="s">
        <v>69</v>
      </c>
      <c r="M9" s="6">
        <v>0</v>
      </c>
      <c r="N9" s="3"/>
      <c r="O9" s="6">
        <v>0</v>
      </c>
      <c r="P9" s="3" t="s">
        <v>300</v>
      </c>
      <c r="Q9" s="6">
        <v>0</v>
      </c>
      <c r="R9" s="3"/>
      <c r="S9" s="6">
        <v>0</v>
      </c>
      <c r="T9" s="3" t="s">
        <v>300</v>
      </c>
      <c r="U9" s="6">
        <f>ROUND(IF(MIN(E9,G9,I9,K9,M9,O9,Q9,S9)&lt;0, MIN(E9,G9,I9,K9,M9,O9,Q9,S9), SMALL(E9:T9,COUNTIF(E9:T9,0)+1)) * 공사설정!$C$24 / 100*AK9/ 100, 2)</f>
        <v>3004</v>
      </c>
      <c r="V9" s="6">
        <f>ROUND(0 * 공사설정!$C$25 / 100*AL9/ 100,2)</f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f>ROUND(IF(MIN(W9:AD9)=AVERAGE(W9:AD9), 0, IF(MIN(W9:AD9)&lt;0, MIN(W9:AD9), SMALL(W9:AD9,COUNTIF(W9:AD9,0)+1))) * 공사설정!$C$26 / 100*AM9/ 100,2)</f>
        <v>0</v>
      </c>
      <c r="AF9" s="3" t="s">
        <v>300</v>
      </c>
      <c r="AG9" s="3" t="s">
        <v>300</v>
      </c>
      <c r="AH9" s="3" t="s">
        <v>300</v>
      </c>
      <c r="AJ9" s="3" t="s">
        <v>300</v>
      </c>
      <c r="AK9" s="1">
        <v>100</v>
      </c>
      <c r="AL9" s="1">
        <v>100</v>
      </c>
      <c r="AM9" s="2">
        <v>100</v>
      </c>
    </row>
    <row r="10" spans="1:39" ht="30" customHeight="1" x14ac:dyDescent="0.3">
      <c r="A10" s="3" t="s">
        <v>268</v>
      </c>
      <c r="B10" s="3" t="s">
        <v>265</v>
      </c>
      <c r="C10" s="3" t="s">
        <v>311</v>
      </c>
      <c r="D10" s="3" t="s">
        <v>51</v>
      </c>
      <c r="E10" s="1">
        <v>2870</v>
      </c>
      <c r="F10" s="3"/>
      <c r="G10" s="1">
        <v>3009.25</v>
      </c>
      <c r="H10" s="3" t="s">
        <v>16</v>
      </c>
      <c r="I10" s="6">
        <v>0</v>
      </c>
      <c r="J10" s="3"/>
      <c r="K10" s="1">
        <v>2870.37</v>
      </c>
      <c r="L10" s="3" t="s">
        <v>204</v>
      </c>
      <c r="M10" s="1">
        <v>3148.14</v>
      </c>
      <c r="N10" s="3" t="s">
        <v>32</v>
      </c>
      <c r="O10" s="6">
        <v>0</v>
      </c>
      <c r="P10" s="3" t="s">
        <v>300</v>
      </c>
      <c r="Q10" s="6">
        <v>0</v>
      </c>
      <c r="R10" s="3"/>
      <c r="S10" s="6">
        <v>0</v>
      </c>
      <c r="T10" s="3" t="s">
        <v>300</v>
      </c>
      <c r="U10" s="6">
        <f>ROUND(IF(MIN(E10,G10,I10,K10,M10,O10,Q10,S10)&lt;0, MIN(E10,G10,I10,K10,M10,O10,Q10,S10), SMALL(E10:T10,COUNTIF(E10:T10,0)+1)) * 공사설정!$C$24 / 100*AK10/ 100, 2)</f>
        <v>2870</v>
      </c>
      <c r="V10" s="6">
        <f>ROUND(0 * 공사설정!$C$25 / 100*AL10/ 100,2)</f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f>ROUND(IF(MIN(W10:AD10)=AVERAGE(W10:AD10), 0, IF(MIN(W10:AD10)&lt;0, MIN(W10:AD10), SMALL(W10:AD10,COUNTIF(W10:AD10,0)+1))) * 공사설정!$C$26 / 100*AM10/ 100,2)</f>
        <v>0</v>
      </c>
      <c r="AF10" s="3" t="s">
        <v>337</v>
      </c>
      <c r="AG10" s="3" t="s">
        <v>300</v>
      </c>
      <c r="AH10" s="3" t="s">
        <v>300</v>
      </c>
      <c r="AJ10" s="3" t="s">
        <v>245</v>
      </c>
      <c r="AK10" s="1">
        <v>100</v>
      </c>
      <c r="AL10" s="1">
        <v>100</v>
      </c>
      <c r="AM10" s="2">
        <v>100</v>
      </c>
    </row>
    <row r="11" spans="1:39" ht="30" customHeight="1" x14ac:dyDescent="0.3">
      <c r="A11" s="3" t="s">
        <v>55</v>
      </c>
      <c r="B11" s="3" t="s">
        <v>265</v>
      </c>
      <c r="C11" s="3" t="s">
        <v>364</v>
      </c>
      <c r="D11" s="3" t="s">
        <v>25</v>
      </c>
      <c r="E11" s="6">
        <v>0</v>
      </c>
      <c r="F11" s="3" t="s">
        <v>300</v>
      </c>
      <c r="G11" s="1">
        <v>4506.17</v>
      </c>
      <c r="H11" s="3" t="s">
        <v>16</v>
      </c>
      <c r="I11" s="6">
        <v>0</v>
      </c>
      <c r="J11" s="3"/>
      <c r="K11" s="6">
        <v>0</v>
      </c>
      <c r="L11" s="3" t="s">
        <v>300</v>
      </c>
      <c r="M11" s="6">
        <v>0</v>
      </c>
      <c r="N11" s="3"/>
      <c r="O11" s="6">
        <v>0</v>
      </c>
      <c r="P11" s="3" t="s">
        <v>300</v>
      </c>
      <c r="Q11" s="6">
        <v>0</v>
      </c>
      <c r="R11" s="3"/>
      <c r="S11" s="6">
        <v>0</v>
      </c>
      <c r="T11" s="3" t="s">
        <v>300</v>
      </c>
      <c r="U11" s="6">
        <f>ROUND(IF(MIN(E11,G11,I11,K11,M11,O11,Q11,S11)&lt;0, MIN(E11,G11,I11,K11,M11,O11,Q11,S11), SMALL(E11:T11,COUNTIF(E11:T11,0)+1)) * 공사설정!$C$24 / 100*AK11/ 100, 2)</f>
        <v>4506.17</v>
      </c>
      <c r="V11" s="6">
        <f>ROUND(0 * 공사설정!$C$25 / 100*AL11/ 100,2)</f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f>ROUND(IF(MIN(W11:AD11)=AVERAGE(W11:AD11), 0, IF(MIN(W11:AD11)&lt;0, MIN(W11:AD11), SMALL(W11:AD11,COUNTIF(W11:AD11,0)+1))) * 공사설정!$C$26 / 100*AM11/ 100,2)</f>
        <v>0</v>
      </c>
      <c r="AF11" s="3" t="s">
        <v>300</v>
      </c>
      <c r="AG11" s="3" t="s">
        <v>300</v>
      </c>
      <c r="AH11" s="3" t="s">
        <v>300</v>
      </c>
      <c r="AJ11" s="3" t="s">
        <v>300</v>
      </c>
      <c r="AK11" s="1">
        <v>100</v>
      </c>
      <c r="AL11" s="1">
        <v>100</v>
      </c>
      <c r="AM11" s="2">
        <v>100</v>
      </c>
    </row>
    <row r="12" spans="1:39" ht="30" customHeight="1" x14ac:dyDescent="0.3">
      <c r="A12" s="3" t="s">
        <v>68</v>
      </c>
      <c r="B12" s="3" t="s">
        <v>307</v>
      </c>
      <c r="C12" s="3" t="s">
        <v>303</v>
      </c>
      <c r="D12" s="3" t="s">
        <v>51</v>
      </c>
      <c r="E12" s="1">
        <v>7000</v>
      </c>
      <c r="F12" s="3" t="s">
        <v>300</v>
      </c>
      <c r="G12" s="6">
        <v>0</v>
      </c>
      <c r="H12" s="3" t="s">
        <v>300</v>
      </c>
      <c r="I12" s="6">
        <v>0</v>
      </c>
      <c r="J12" s="3"/>
      <c r="K12" s="6">
        <v>0</v>
      </c>
      <c r="L12" s="3" t="s">
        <v>300</v>
      </c>
      <c r="M12" s="6">
        <v>0</v>
      </c>
      <c r="N12" s="3"/>
      <c r="O12" s="6">
        <v>0</v>
      </c>
      <c r="P12" s="3" t="s">
        <v>300</v>
      </c>
      <c r="Q12" s="6">
        <v>0</v>
      </c>
      <c r="R12" s="3"/>
      <c r="S12" s="6">
        <v>0</v>
      </c>
      <c r="T12" s="3" t="s">
        <v>300</v>
      </c>
      <c r="U12" s="6">
        <f>ROUND(IF(MIN(E12,G12,I12,K12,M12,O12,Q12,S12)&lt;0, MIN(E12,G12,I12,K12,M12,O12,Q12,S12), SMALL(E12:T12,COUNTIF(E12:T12,0)+1)) * 공사설정!$C$24 / 100*AK12/ 100, 2)</f>
        <v>7000</v>
      </c>
      <c r="V12" s="6">
        <f>ROUND(0 * 공사설정!$C$25 / 100*AL12/ 100,2)</f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f>ROUND(IF(MIN(W12:AD12)=AVERAGE(W12:AD12), 0, IF(MIN(W12:AD12)&lt;0, MIN(W12:AD12), SMALL(W12:AD12,COUNTIF(W12:AD12,0)+1))) * 공사설정!$C$26 / 100*AM12/ 100,2)</f>
        <v>0</v>
      </c>
      <c r="AF12" s="3" t="s">
        <v>300</v>
      </c>
      <c r="AG12" s="3" t="s">
        <v>300</v>
      </c>
      <c r="AH12" s="3" t="s">
        <v>300</v>
      </c>
      <c r="AJ12" s="3" t="s">
        <v>300</v>
      </c>
      <c r="AK12" s="1">
        <v>100</v>
      </c>
      <c r="AL12" s="1">
        <v>100</v>
      </c>
      <c r="AM12" s="2">
        <v>100</v>
      </c>
    </row>
    <row r="13" spans="1:39" ht="30" customHeight="1" x14ac:dyDescent="0.3">
      <c r="A13" s="3" t="s">
        <v>231</v>
      </c>
      <c r="B13" s="3" t="s">
        <v>334</v>
      </c>
      <c r="C13" s="3" t="s">
        <v>330</v>
      </c>
      <c r="D13" s="3" t="s">
        <v>61</v>
      </c>
      <c r="E13" s="6">
        <v>0</v>
      </c>
      <c r="F13" s="3" t="s">
        <v>300</v>
      </c>
      <c r="G13" s="1">
        <v>1160</v>
      </c>
      <c r="H13" s="3" t="s">
        <v>274</v>
      </c>
      <c r="I13" s="6">
        <v>0</v>
      </c>
      <c r="J13" s="3"/>
      <c r="K13" s="1">
        <v>1160</v>
      </c>
      <c r="L13" s="3" t="s">
        <v>181</v>
      </c>
      <c r="M13" s="1">
        <v>910</v>
      </c>
      <c r="N13" s="3" t="s">
        <v>142</v>
      </c>
      <c r="O13" s="6">
        <v>0</v>
      </c>
      <c r="P13" s="3" t="s">
        <v>300</v>
      </c>
      <c r="Q13" s="6">
        <v>0</v>
      </c>
      <c r="R13" s="3"/>
      <c r="S13" s="6">
        <v>0</v>
      </c>
      <c r="T13" s="3" t="s">
        <v>300</v>
      </c>
      <c r="U13" s="6">
        <f>ROUND(IF(MIN(E13,G13,I13,K13,M13,O13,Q13,S13)&lt;0, MIN(E13,G13,I13,K13,M13,O13,Q13,S13), SMALL(E13:T13,COUNTIF(E13:T13,0)+1)) * 공사설정!$C$24 / 100*AK13/ 100, 2)</f>
        <v>910</v>
      </c>
      <c r="V13" s="6">
        <f>ROUND(0 * 공사설정!$C$25 / 100*AL13/ 100,2)</f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f>ROUND(IF(MIN(W13:AD13)=AVERAGE(W13:AD13), 0, IF(MIN(W13:AD13)&lt;0, MIN(W13:AD13), SMALL(W13:AD13,COUNTIF(W13:AD13,0)+1))) * 공사설정!$C$26 / 100*AM13/ 100,2)</f>
        <v>0</v>
      </c>
      <c r="AF13" s="3" t="s">
        <v>300</v>
      </c>
      <c r="AG13" s="3" t="s">
        <v>300</v>
      </c>
      <c r="AH13" s="3" t="s">
        <v>300</v>
      </c>
      <c r="AJ13" s="3" t="s">
        <v>300</v>
      </c>
      <c r="AK13" s="1">
        <v>100</v>
      </c>
      <c r="AL13" s="1">
        <v>100</v>
      </c>
      <c r="AM13" s="2">
        <v>100</v>
      </c>
    </row>
    <row r="14" spans="1:39" ht="30" customHeight="1" x14ac:dyDescent="0.3">
      <c r="A14" s="3" t="s">
        <v>102</v>
      </c>
      <c r="B14" s="3" t="s">
        <v>334</v>
      </c>
      <c r="C14" s="3" t="s">
        <v>26</v>
      </c>
      <c r="D14" s="3" t="s">
        <v>317</v>
      </c>
      <c r="E14" s="6">
        <v>0</v>
      </c>
      <c r="F14" s="3" t="s">
        <v>300</v>
      </c>
      <c r="G14" s="6">
        <v>0</v>
      </c>
      <c r="H14" s="3" t="s">
        <v>300</v>
      </c>
      <c r="I14" s="6">
        <v>0</v>
      </c>
      <c r="J14" s="3"/>
      <c r="K14" s="6">
        <v>0</v>
      </c>
      <c r="L14" s="3" t="s">
        <v>276</v>
      </c>
      <c r="M14" s="1">
        <v>860</v>
      </c>
      <c r="N14" s="3" t="s">
        <v>62</v>
      </c>
      <c r="O14" s="6">
        <v>0</v>
      </c>
      <c r="P14" s="3" t="s">
        <v>300</v>
      </c>
      <c r="Q14" s="6">
        <v>0</v>
      </c>
      <c r="R14" s="3"/>
      <c r="S14" s="6">
        <v>0</v>
      </c>
      <c r="T14" s="3" t="s">
        <v>300</v>
      </c>
      <c r="U14" s="6">
        <f>ROUND(IF(MIN(E14,G14,I14,K14,M14,O14,Q14,S14)&lt;0, MIN(E14,G14,I14,K14,M14,O14,Q14,S14), SMALL(E14:T14,COUNTIF(E14:T14,0)+1)) * 공사설정!$C$24 / 100*AK14/ 100, 2)</f>
        <v>860</v>
      </c>
      <c r="V14" s="6">
        <f>ROUND(0 * 공사설정!$C$25 / 100*AL14/ 100,2)</f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f>ROUND(IF(MIN(W14:AD14)=AVERAGE(W14:AD14), 0, IF(MIN(W14:AD14)&lt;0, MIN(W14:AD14), SMALL(W14:AD14,COUNTIF(W14:AD14,0)+1))) * 공사설정!$C$26 / 100*AM14/ 100,2)</f>
        <v>0</v>
      </c>
      <c r="AF14" s="3" t="s">
        <v>300</v>
      </c>
      <c r="AG14" s="3" t="s">
        <v>300</v>
      </c>
      <c r="AH14" s="3" t="s">
        <v>300</v>
      </c>
      <c r="AJ14" s="3" t="s">
        <v>300</v>
      </c>
      <c r="AK14" s="1">
        <v>100</v>
      </c>
      <c r="AL14" s="1">
        <v>100</v>
      </c>
      <c r="AM14" s="2">
        <v>100</v>
      </c>
    </row>
    <row r="15" spans="1:39" ht="30" customHeight="1" x14ac:dyDescent="0.3">
      <c r="A15" s="3" t="s">
        <v>302</v>
      </c>
      <c r="B15" s="3" t="s">
        <v>334</v>
      </c>
      <c r="C15" s="3" t="s">
        <v>127</v>
      </c>
      <c r="D15" s="3" t="s">
        <v>61</v>
      </c>
      <c r="E15" s="6">
        <v>0</v>
      </c>
      <c r="F15" s="3" t="s">
        <v>300</v>
      </c>
      <c r="G15" s="1">
        <v>1560</v>
      </c>
      <c r="H15" s="3" t="s">
        <v>274</v>
      </c>
      <c r="I15" s="6">
        <v>0</v>
      </c>
      <c r="J15" s="3"/>
      <c r="K15" s="6">
        <v>0</v>
      </c>
      <c r="L15" s="3" t="s">
        <v>300</v>
      </c>
      <c r="M15" s="1">
        <v>1480</v>
      </c>
      <c r="N15" s="3" t="s">
        <v>142</v>
      </c>
      <c r="O15" s="6">
        <v>0</v>
      </c>
      <c r="P15" s="3" t="s">
        <v>300</v>
      </c>
      <c r="Q15" s="6">
        <v>0</v>
      </c>
      <c r="R15" s="3"/>
      <c r="S15" s="6">
        <v>0</v>
      </c>
      <c r="T15" s="3" t="s">
        <v>300</v>
      </c>
      <c r="U15" s="6">
        <f>ROUND(IF(MIN(E15,G15,I15,K15,M15,O15,Q15,S15)&lt;0, MIN(E15,G15,I15,K15,M15,O15,Q15,S15), SMALL(E15:T15,COUNTIF(E15:T15,0)+1)) * 공사설정!$C$24 / 100*AK15/ 100, 2)</f>
        <v>1480</v>
      </c>
      <c r="V15" s="6">
        <f>ROUND(0 * 공사설정!$C$25 / 100*AL15/ 100,2)</f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f>ROUND(IF(MIN(W15:AD15)=AVERAGE(W15:AD15), 0, IF(MIN(W15:AD15)&lt;0, MIN(W15:AD15), SMALL(W15:AD15,COUNTIF(W15:AD15,0)+1))) * 공사설정!$C$26 / 100*AM15/ 100,2)</f>
        <v>0</v>
      </c>
      <c r="AF15" s="3" t="s">
        <v>300</v>
      </c>
      <c r="AG15" s="3" t="s">
        <v>300</v>
      </c>
      <c r="AH15" s="3" t="s">
        <v>300</v>
      </c>
      <c r="AJ15" s="3" t="s">
        <v>300</v>
      </c>
      <c r="AK15" s="1">
        <v>100</v>
      </c>
      <c r="AL15" s="1">
        <v>100</v>
      </c>
      <c r="AM15" s="2">
        <v>100</v>
      </c>
    </row>
    <row r="16" spans="1:39" ht="30" customHeight="1" x14ac:dyDescent="0.3">
      <c r="A16" s="3" t="s">
        <v>23</v>
      </c>
      <c r="B16" s="3" t="s">
        <v>334</v>
      </c>
      <c r="C16" s="3" t="s">
        <v>277</v>
      </c>
      <c r="D16" s="3" t="s">
        <v>61</v>
      </c>
      <c r="E16" s="6">
        <v>0</v>
      </c>
      <c r="F16" s="3" t="s">
        <v>300</v>
      </c>
      <c r="G16" s="1">
        <v>980</v>
      </c>
      <c r="H16" s="3" t="s">
        <v>274</v>
      </c>
      <c r="I16" s="6">
        <v>0</v>
      </c>
      <c r="J16" s="3"/>
      <c r="K16" s="1">
        <v>980</v>
      </c>
      <c r="L16" s="3" t="s">
        <v>181</v>
      </c>
      <c r="M16" s="1">
        <v>850</v>
      </c>
      <c r="N16" s="3" t="s">
        <v>142</v>
      </c>
      <c r="O16" s="6">
        <v>0</v>
      </c>
      <c r="P16" s="3" t="s">
        <v>300</v>
      </c>
      <c r="Q16" s="6">
        <v>0</v>
      </c>
      <c r="R16" s="3"/>
      <c r="S16" s="6">
        <v>0</v>
      </c>
      <c r="T16" s="3" t="s">
        <v>300</v>
      </c>
      <c r="U16" s="6">
        <f>ROUND(IF(MIN(E16,G16,I16,K16,M16,O16,Q16,S16)&lt;0, MIN(E16,G16,I16,K16,M16,O16,Q16,S16), SMALL(E16:T16,COUNTIF(E16:T16,0)+1)) * 공사설정!$C$24 / 100*AK16/ 100, 2)</f>
        <v>850</v>
      </c>
      <c r="V16" s="6">
        <f>ROUND(0 * 공사설정!$C$25 / 100*AL16/ 100,2)</f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f>ROUND(IF(MIN(W16:AD16)=AVERAGE(W16:AD16), 0, IF(MIN(W16:AD16)&lt;0, MIN(W16:AD16), SMALL(W16:AD16,COUNTIF(W16:AD16,0)+1))) * 공사설정!$C$26 / 100*AM16/ 100,2)</f>
        <v>0</v>
      </c>
      <c r="AF16" s="3" t="s">
        <v>300</v>
      </c>
      <c r="AG16" s="3" t="s">
        <v>300</v>
      </c>
      <c r="AH16" s="3" t="s">
        <v>300</v>
      </c>
      <c r="AJ16" s="3" t="s">
        <v>300</v>
      </c>
      <c r="AK16" s="1">
        <v>100</v>
      </c>
      <c r="AL16" s="1">
        <v>100</v>
      </c>
      <c r="AM16" s="2">
        <v>100</v>
      </c>
    </row>
    <row r="17" spans="1:39" ht="30" customHeight="1" x14ac:dyDescent="0.3">
      <c r="A17" s="3" t="s">
        <v>76</v>
      </c>
      <c r="B17" s="3" t="s">
        <v>334</v>
      </c>
      <c r="C17" s="3" t="s">
        <v>58</v>
      </c>
      <c r="D17" s="3" t="s">
        <v>320</v>
      </c>
      <c r="E17" s="6">
        <v>0</v>
      </c>
      <c r="F17" s="3" t="s">
        <v>300</v>
      </c>
      <c r="G17" s="1">
        <v>310</v>
      </c>
      <c r="H17" s="3" t="s">
        <v>274</v>
      </c>
      <c r="I17" s="6">
        <v>0</v>
      </c>
      <c r="J17" s="3"/>
      <c r="K17" s="6">
        <v>0</v>
      </c>
      <c r="L17" s="3" t="s">
        <v>300</v>
      </c>
      <c r="M17" s="1">
        <v>310</v>
      </c>
      <c r="N17" s="3" t="s">
        <v>62</v>
      </c>
      <c r="O17" s="6">
        <v>0</v>
      </c>
      <c r="P17" s="3" t="s">
        <v>300</v>
      </c>
      <c r="Q17" s="6">
        <v>0</v>
      </c>
      <c r="R17" s="3"/>
      <c r="S17" s="6">
        <v>0</v>
      </c>
      <c r="T17" s="3" t="s">
        <v>300</v>
      </c>
      <c r="U17" s="6">
        <f>ROUND(IF(MIN(E17,G17,I17,K17,M17,O17,Q17,S17)&lt;0, MIN(E17,G17,I17,K17,M17,O17,Q17,S17), SMALL(E17:T17,COUNTIF(E17:T17,0)+1)) * 공사설정!$C$24 / 100*AK17/ 100, 2)</f>
        <v>310</v>
      </c>
      <c r="V17" s="6">
        <f>ROUND(0 * 공사설정!$C$25 / 100*AL17/ 100,2)</f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f>ROUND(IF(MIN(W17:AD17)=AVERAGE(W17:AD17), 0, IF(MIN(W17:AD17)&lt;0, MIN(W17:AD17), SMALL(W17:AD17,COUNTIF(W17:AD17,0)+1))) * 공사설정!$C$26 / 100*AM17/ 100,2)</f>
        <v>0</v>
      </c>
      <c r="AF17" s="3" t="s">
        <v>300</v>
      </c>
      <c r="AG17" s="3" t="s">
        <v>300</v>
      </c>
      <c r="AH17" s="3" t="s">
        <v>300</v>
      </c>
      <c r="AJ17" s="3" t="s">
        <v>300</v>
      </c>
      <c r="AK17" s="1">
        <v>100</v>
      </c>
      <c r="AL17" s="1">
        <v>100</v>
      </c>
      <c r="AM17" s="2">
        <v>100</v>
      </c>
    </row>
    <row r="18" spans="1:39" ht="30" customHeight="1" x14ac:dyDescent="0.3">
      <c r="A18" s="3" t="s">
        <v>361</v>
      </c>
      <c r="B18" s="3" t="s">
        <v>334</v>
      </c>
      <c r="C18" s="3" t="s">
        <v>64</v>
      </c>
      <c r="D18" s="3" t="s">
        <v>320</v>
      </c>
      <c r="E18" s="6">
        <v>0</v>
      </c>
      <c r="F18" s="3" t="s">
        <v>300</v>
      </c>
      <c r="G18" s="6">
        <v>0</v>
      </c>
      <c r="H18" s="3" t="s">
        <v>300</v>
      </c>
      <c r="I18" s="6">
        <v>0</v>
      </c>
      <c r="J18" s="3"/>
      <c r="K18" s="6">
        <v>0</v>
      </c>
      <c r="L18" s="3" t="s">
        <v>300</v>
      </c>
      <c r="M18" s="6">
        <v>0</v>
      </c>
      <c r="N18" s="3"/>
      <c r="O18" s="1">
        <v>111</v>
      </c>
      <c r="P18" s="3" t="s">
        <v>300</v>
      </c>
      <c r="Q18" s="6">
        <v>0</v>
      </c>
      <c r="R18" s="3"/>
      <c r="S18" s="6">
        <v>0</v>
      </c>
      <c r="T18" s="3" t="s">
        <v>300</v>
      </c>
      <c r="U18" s="6">
        <f>ROUND(IF(MIN(E18,G18,I18,K18,M18,O18,Q18,S18)&lt;0, MIN(E18,G18,I18,K18,M18,O18,Q18,S18), SMALL(E18:T18,COUNTIF(E18:T18,0)+1)) * 공사설정!$C$24 / 100*AK18/ 100, 2)</f>
        <v>111</v>
      </c>
      <c r="V18" s="6">
        <f>ROUND(0 * 공사설정!$C$25 / 100*AL18/ 100,2)</f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f>ROUND(IF(MIN(W18:AD18)=AVERAGE(W18:AD18), 0, IF(MIN(W18:AD18)&lt;0, MIN(W18:AD18), SMALL(W18:AD18,COUNTIF(W18:AD18,0)+1))) * 공사설정!$C$26 / 100*AM18/ 100,2)</f>
        <v>0</v>
      </c>
      <c r="AF18" s="3" t="s">
        <v>300</v>
      </c>
      <c r="AG18" s="3" t="s">
        <v>300</v>
      </c>
      <c r="AH18" s="3" t="s">
        <v>300</v>
      </c>
      <c r="AJ18" s="3" t="s">
        <v>300</v>
      </c>
      <c r="AK18" s="1">
        <v>100</v>
      </c>
      <c r="AL18" s="1">
        <v>100</v>
      </c>
      <c r="AM18" s="2">
        <v>100</v>
      </c>
    </row>
    <row r="19" spans="1:39" ht="30" customHeight="1" x14ac:dyDescent="0.3">
      <c r="A19" s="3" t="s">
        <v>10</v>
      </c>
      <c r="B19" s="3" t="s">
        <v>334</v>
      </c>
      <c r="C19" s="3" t="s">
        <v>241</v>
      </c>
      <c r="D19" s="3" t="s">
        <v>320</v>
      </c>
      <c r="E19" s="6">
        <v>0</v>
      </c>
      <c r="F19" s="3" t="s">
        <v>300</v>
      </c>
      <c r="G19" s="6">
        <v>0</v>
      </c>
      <c r="H19" s="3" t="s">
        <v>300</v>
      </c>
      <c r="I19" s="6">
        <v>0</v>
      </c>
      <c r="J19" s="3"/>
      <c r="K19" s="6">
        <v>0</v>
      </c>
      <c r="L19" s="3" t="s">
        <v>300</v>
      </c>
      <c r="M19" s="6">
        <v>0</v>
      </c>
      <c r="N19" s="3"/>
      <c r="O19" s="1">
        <v>107</v>
      </c>
      <c r="P19" s="3" t="s">
        <v>300</v>
      </c>
      <c r="Q19" s="6">
        <v>0</v>
      </c>
      <c r="R19" s="3"/>
      <c r="S19" s="6">
        <v>0</v>
      </c>
      <c r="T19" s="3" t="s">
        <v>300</v>
      </c>
      <c r="U19" s="6">
        <f>ROUND(IF(MIN(E19,G19,I19,K19,M19,O19,Q19,S19)&lt;0, MIN(E19,G19,I19,K19,M19,O19,Q19,S19), SMALL(E19:T19,COUNTIF(E19:T19,0)+1)) * 공사설정!$C$24 / 100*AK19/ 100, 2)</f>
        <v>107</v>
      </c>
      <c r="V19" s="6">
        <f>ROUND(0 * 공사설정!$C$25 / 100*AL19/ 100,2)</f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f>ROUND(IF(MIN(W19:AD19)=AVERAGE(W19:AD19), 0, IF(MIN(W19:AD19)&lt;0, MIN(W19:AD19), SMALL(W19:AD19,COUNTIF(W19:AD19,0)+1))) * 공사설정!$C$26 / 100*AM19/ 100,2)</f>
        <v>0</v>
      </c>
      <c r="AF19" s="3" t="s">
        <v>300</v>
      </c>
      <c r="AG19" s="3" t="s">
        <v>300</v>
      </c>
      <c r="AH19" s="3" t="s">
        <v>300</v>
      </c>
      <c r="AJ19" s="3" t="s">
        <v>300</v>
      </c>
      <c r="AK19" s="1">
        <v>100</v>
      </c>
      <c r="AL19" s="1">
        <v>100</v>
      </c>
      <c r="AM19" s="2">
        <v>100</v>
      </c>
    </row>
    <row r="20" spans="1:39" ht="30" customHeight="1" x14ac:dyDescent="0.3">
      <c r="A20" s="3" t="s">
        <v>81</v>
      </c>
      <c r="B20" s="3" t="s">
        <v>334</v>
      </c>
      <c r="C20" s="3" t="s">
        <v>174</v>
      </c>
      <c r="D20" s="3" t="s">
        <v>317</v>
      </c>
      <c r="E20" s="6">
        <v>0</v>
      </c>
      <c r="F20" s="3" t="s">
        <v>300</v>
      </c>
      <c r="G20" s="6">
        <v>0</v>
      </c>
      <c r="H20" s="3" t="s">
        <v>300</v>
      </c>
      <c r="I20" s="6">
        <v>0</v>
      </c>
      <c r="J20" s="3"/>
      <c r="K20" s="6">
        <v>0</v>
      </c>
      <c r="L20" s="3" t="s">
        <v>300</v>
      </c>
      <c r="M20" s="6">
        <v>0</v>
      </c>
      <c r="N20" s="3"/>
      <c r="O20" s="1">
        <v>60</v>
      </c>
      <c r="P20" s="3" t="s">
        <v>300</v>
      </c>
      <c r="Q20" s="6">
        <v>0</v>
      </c>
      <c r="R20" s="3"/>
      <c r="S20" s="6">
        <v>0</v>
      </c>
      <c r="T20" s="3" t="s">
        <v>300</v>
      </c>
      <c r="U20" s="6">
        <f>ROUND(IF(MIN(E20,G20,I20,K20,M20,O20,Q20,S20)&lt;0, MIN(E20,G20,I20,K20,M20,O20,Q20,S20), SMALL(E20:T20,COUNTIF(E20:T20,0)+1)) * 공사설정!$C$24 / 100*AK20/ 100, 2)</f>
        <v>60</v>
      </c>
      <c r="V20" s="6">
        <f>ROUND(0 * 공사설정!$C$25 / 100*AL20/ 100,2)</f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f>ROUND(IF(MIN(W20:AD20)=AVERAGE(W20:AD20), 0, IF(MIN(W20:AD20)&lt;0, MIN(W20:AD20), SMALL(W20:AD20,COUNTIF(W20:AD20,0)+1))) * 공사설정!$C$26 / 100*AM20/ 100,2)</f>
        <v>0</v>
      </c>
      <c r="AF20" s="3" t="s">
        <v>300</v>
      </c>
      <c r="AG20" s="3" t="s">
        <v>300</v>
      </c>
      <c r="AH20" s="3" t="s">
        <v>300</v>
      </c>
      <c r="AJ20" s="3" t="s">
        <v>300</v>
      </c>
      <c r="AK20" s="1">
        <v>100</v>
      </c>
      <c r="AL20" s="1">
        <v>100</v>
      </c>
      <c r="AM20" s="2">
        <v>100</v>
      </c>
    </row>
    <row r="21" spans="1:39" ht="30" customHeight="1" x14ac:dyDescent="0.3">
      <c r="A21" s="3" t="s">
        <v>298</v>
      </c>
      <c r="B21" s="3" t="s">
        <v>334</v>
      </c>
      <c r="C21" s="3" t="s">
        <v>169</v>
      </c>
      <c r="D21" s="3" t="s">
        <v>317</v>
      </c>
      <c r="E21" s="6">
        <v>0</v>
      </c>
      <c r="F21" s="3" t="s">
        <v>300</v>
      </c>
      <c r="G21" s="6">
        <v>0</v>
      </c>
      <c r="H21" s="3" t="s">
        <v>300</v>
      </c>
      <c r="I21" s="6">
        <v>0</v>
      </c>
      <c r="J21" s="3"/>
      <c r="K21" s="6">
        <v>0</v>
      </c>
      <c r="L21" s="3" t="s">
        <v>300</v>
      </c>
      <c r="M21" s="6">
        <v>0</v>
      </c>
      <c r="N21" s="3"/>
      <c r="O21" s="1">
        <v>80</v>
      </c>
      <c r="P21" s="3" t="s">
        <v>300</v>
      </c>
      <c r="Q21" s="6">
        <v>0</v>
      </c>
      <c r="R21" s="3"/>
      <c r="S21" s="6">
        <v>0</v>
      </c>
      <c r="T21" s="3" t="s">
        <v>300</v>
      </c>
      <c r="U21" s="6">
        <f>ROUND(IF(MIN(E21,G21,I21,K21,M21,O21,Q21,S21)&lt;0, MIN(E21,G21,I21,K21,M21,O21,Q21,S21), SMALL(E21:T21,COUNTIF(E21:T21,0)+1)) * 공사설정!$C$24 / 100*AK21/ 100, 2)</f>
        <v>80</v>
      </c>
      <c r="V21" s="6">
        <f>ROUND(0 * 공사설정!$C$25 / 100*AL21/ 100,2)</f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f>ROUND(IF(MIN(W21:AD21)=AVERAGE(W21:AD21), 0, IF(MIN(W21:AD21)&lt;0, MIN(W21:AD21), SMALL(W21:AD21,COUNTIF(W21:AD21,0)+1))) * 공사설정!$C$26 / 100*AM21/ 100,2)</f>
        <v>0</v>
      </c>
      <c r="AF21" s="3" t="s">
        <v>300</v>
      </c>
      <c r="AG21" s="3" t="s">
        <v>300</v>
      </c>
      <c r="AH21" s="3" t="s">
        <v>300</v>
      </c>
      <c r="AJ21" s="3" t="s">
        <v>300</v>
      </c>
      <c r="AK21" s="1">
        <v>100</v>
      </c>
      <c r="AL21" s="1">
        <v>100</v>
      </c>
      <c r="AM21" s="2">
        <v>100</v>
      </c>
    </row>
    <row r="22" spans="1:39" ht="30" customHeight="1" x14ac:dyDescent="0.3">
      <c r="A22" s="3" t="s">
        <v>152</v>
      </c>
      <c r="B22" s="3" t="s">
        <v>31</v>
      </c>
      <c r="C22" s="3" t="s">
        <v>14</v>
      </c>
      <c r="D22" s="3" t="s">
        <v>61</v>
      </c>
      <c r="E22" s="6">
        <v>0</v>
      </c>
      <c r="F22" s="3" t="s">
        <v>300</v>
      </c>
      <c r="G22" s="1">
        <v>2680</v>
      </c>
      <c r="H22" s="3" t="s">
        <v>274</v>
      </c>
      <c r="I22" s="6">
        <v>0</v>
      </c>
      <c r="J22" s="3"/>
      <c r="K22" s="1">
        <v>2680</v>
      </c>
      <c r="L22" s="3" t="s">
        <v>181</v>
      </c>
      <c r="M22" s="1">
        <v>2680</v>
      </c>
      <c r="N22" s="3" t="s">
        <v>62</v>
      </c>
      <c r="O22" s="6">
        <v>0</v>
      </c>
      <c r="P22" s="3" t="s">
        <v>300</v>
      </c>
      <c r="Q22" s="6">
        <v>0</v>
      </c>
      <c r="R22" s="3"/>
      <c r="S22" s="6">
        <v>0</v>
      </c>
      <c r="T22" s="3" t="s">
        <v>300</v>
      </c>
      <c r="U22" s="6">
        <f>ROUND(IF(MIN(E22,G22,I22,K22,M22,O22,Q22,S22)&lt;0, MIN(E22,G22,I22,K22,M22,O22,Q22,S22), SMALL(E22:T22,COUNTIF(E22:T22,0)+1)) * 공사설정!$C$24 / 100*AK22/ 100, 2)</f>
        <v>2680</v>
      </c>
      <c r="V22" s="6">
        <f>ROUND(0 * 공사설정!$C$25 / 100*AL22/ 100,2)</f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f>ROUND(IF(MIN(W22:AD22)=AVERAGE(W22:AD22), 0, IF(MIN(W22:AD22)&lt;0, MIN(W22:AD22), SMALL(W22:AD22,COUNTIF(W22:AD22,0)+1))) * 공사설정!$C$26 / 100*AM22/ 100,2)</f>
        <v>0</v>
      </c>
      <c r="AF22" s="3" t="s">
        <v>300</v>
      </c>
      <c r="AG22" s="3" t="s">
        <v>300</v>
      </c>
      <c r="AH22" s="3" t="s">
        <v>300</v>
      </c>
      <c r="AJ22" s="3" t="s">
        <v>300</v>
      </c>
      <c r="AK22" s="1">
        <v>100</v>
      </c>
      <c r="AL22" s="1">
        <v>100</v>
      </c>
      <c r="AM22" s="2">
        <v>100</v>
      </c>
    </row>
    <row r="23" spans="1:39" ht="30" customHeight="1" x14ac:dyDescent="0.3">
      <c r="A23" s="3" t="s">
        <v>40</v>
      </c>
      <c r="B23" s="3" t="s">
        <v>107</v>
      </c>
      <c r="C23" s="3" t="s">
        <v>194</v>
      </c>
      <c r="D23" s="3" t="s">
        <v>61</v>
      </c>
      <c r="E23" s="6">
        <v>0</v>
      </c>
      <c r="F23" s="3" t="s">
        <v>300</v>
      </c>
      <c r="G23" s="1">
        <v>3230</v>
      </c>
      <c r="H23" s="3" t="s">
        <v>274</v>
      </c>
      <c r="I23" s="6">
        <v>0</v>
      </c>
      <c r="J23" s="3"/>
      <c r="K23" s="1">
        <v>3230</v>
      </c>
      <c r="L23" s="3" t="s">
        <v>181</v>
      </c>
      <c r="M23" s="1">
        <v>3230</v>
      </c>
      <c r="N23" s="3" t="s">
        <v>62</v>
      </c>
      <c r="O23" s="6">
        <v>0</v>
      </c>
      <c r="P23" s="3" t="s">
        <v>300</v>
      </c>
      <c r="Q23" s="6">
        <v>0</v>
      </c>
      <c r="R23" s="3"/>
      <c r="S23" s="6">
        <v>0</v>
      </c>
      <c r="T23" s="3" t="s">
        <v>300</v>
      </c>
      <c r="U23" s="6">
        <f>ROUND(IF(MIN(E23,G23,I23,K23,M23,O23,Q23,S23)&lt;0, MIN(E23,G23,I23,K23,M23,O23,Q23,S23), SMALL(E23:T23,COUNTIF(E23:T23,0)+1)) * 공사설정!$C$24 / 100*AK23/ 100, 2)</f>
        <v>3230</v>
      </c>
      <c r="V23" s="6">
        <f>ROUND(0 * 공사설정!$C$25 / 100*AL23/ 100,2)</f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f>ROUND(IF(MIN(W23:AD23)=AVERAGE(W23:AD23), 0, IF(MIN(W23:AD23)&lt;0, MIN(W23:AD23), SMALL(W23:AD23,COUNTIF(W23:AD23,0)+1))) * 공사설정!$C$26 / 100*AM23/ 100,2)</f>
        <v>0</v>
      </c>
      <c r="AF23" s="3" t="s">
        <v>300</v>
      </c>
      <c r="AG23" s="3" t="s">
        <v>300</v>
      </c>
      <c r="AH23" s="3" t="s">
        <v>300</v>
      </c>
      <c r="AJ23" s="3" t="s">
        <v>300</v>
      </c>
      <c r="AK23" s="1">
        <v>100</v>
      </c>
      <c r="AL23" s="1">
        <v>100</v>
      </c>
      <c r="AM23" s="2">
        <v>100</v>
      </c>
    </row>
    <row r="24" spans="1:39" ht="30" customHeight="1" x14ac:dyDescent="0.3">
      <c r="A24" s="3" t="s">
        <v>294</v>
      </c>
      <c r="B24" s="3" t="s">
        <v>200</v>
      </c>
      <c r="C24" s="3" t="s">
        <v>47</v>
      </c>
      <c r="D24" s="3" t="s">
        <v>317</v>
      </c>
      <c r="E24" s="6">
        <v>0</v>
      </c>
      <c r="F24" s="3" t="s">
        <v>300</v>
      </c>
      <c r="G24" s="6">
        <v>0</v>
      </c>
      <c r="H24" s="3" t="s">
        <v>300</v>
      </c>
      <c r="I24" s="6">
        <v>0</v>
      </c>
      <c r="J24" s="3"/>
      <c r="K24" s="6">
        <v>0</v>
      </c>
      <c r="L24" s="3" t="s">
        <v>300</v>
      </c>
      <c r="M24" s="6">
        <v>0</v>
      </c>
      <c r="N24" s="3"/>
      <c r="O24" s="6">
        <v>0</v>
      </c>
      <c r="P24" s="3" t="s">
        <v>300</v>
      </c>
      <c r="Q24" s="6">
        <v>0</v>
      </c>
      <c r="R24" s="3"/>
      <c r="S24" s="6">
        <v>0</v>
      </c>
      <c r="T24" s="3" t="s">
        <v>300</v>
      </c>
      <c r="U24" s="6">
        <f>0*AK24/ 100</f>
        <v>0</v>
      </c>
      <c r="V24" s="6">
        <f>ROUND(0 * 공사설정!$C$25 / 100*AL24/ 100,2)</f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f>ROUND(IF(MIN(W24:AD24)=AVERAGE(W24:AD24), 0, IF(MIN(W24:AD24)&lt;0, MIN(W24:AD24), SMALL(W24:AD24,COUNTIF(W24:AD24,0)+1))) * 공사설정!$C$26 / 100*AM24/ 100,2)</f>
        <v>0</v>
      </c>
      <c r="AF24" s="3" t="s">
        <v>300</v>
      </c>
      <c r="AG24" s="3" t="s">
        <v>300</v>
      </c>
      <c r="AH24" s="3" t="s">
        <v>300</v>
      </c>
      <c r="AJ24" s="3" t="s">
        <v>300</v>
      </c>
      <c r="AK24" s="1">
        <v>100</v>
      </c>
      <c r="AL24" s="1">
        <v>100</v>
      </c>
      <c r="AM24" s="2">
        <v>100</v>
      </c>
    </row>
    <row r="25" spans="1:39" ht="30" customHeight="1" x14ac:dyDescent="0.3">
      <c r="A25" s="3" t="s">
        <v>247</v>
      </c>
      <c r="B25" s="3" t="s">
        <v>200</v>
      </c>
      <c r="C25" s="3" t="s">
        <v>269</v>
      </c>
      <c r="D25" s="3" t="s">
        <v>317</v>
      </c>
      <c r="E25" s="6">
        <v>0</v>
      </c>
      <c r="F25" s="3" t="s">
        <v>300</v>
      </c>
      <c r="G25" s="6">
        <v>0</v>
      </c>
      <c r="H25" s="3" t="s">
        <v>300</v>
      </c>
      <c r="I25" s="6">
        <v>0</v>
      </c>
      <c r="J25" s="3"/>
      <c r="K25" s="6">
        <v>0</v>
      </c>
      <c r="L25" s="3" t="s">
        <v>300</v>
      </c>
      <c r="M25" s="6">
        <v>0</v>
      </c>
      <c r="N25" s="3"/>
      <c r="O25" s="6">
        <v>0</v>
      </c>
      <c r="P25" s="3" t="s">
        <v>300</v>
      </c>
      <c r="Q25" s="6">
        <v>0</v>
      </c>
      <c r="R25" s="3"/>
      <c r="S25" s="6">
        <v>0</v>
      </c>
      <c r="T25" s="3" t="s">
        <v>300</v>
      </c>
      <c r="U25" s="6">
        <f>0*AK25/ 100</f>
        <v>0</v>
      </c>
      <c r="V25" s="6">
        <f>ROUND(0 * 공사설정!$C$25 / 100*AL25/ 100,2)</f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f>ROUND(IF(MIN(W25:AD25)=AVERAGE(W25:AD25), 0, IF(MIN(W25:AD25)&lt;0, MIN(W25:AD25), SMALL(W25:AD25,COUNTIF(W25:AD25,0)+1))) * 공사설정!$C$26 / 100*AM25/ 100,2)</f>
        <v>0</v>
      </c>
      <c r="AF25" s="3" t="s">
        <v>300</v>
      </c>
      <c r="AG25" s="3" t="s">
        <v>300</v>
      </c>
      <c r="AH25" s="3" t="s">
        <v>300</v>
      </c>
      <c r="AJ25" s="3" t="s">
        <v>300</v>
      </c>
      <c r="AK25" s="1">
        <v>100</v>
      </c>
      <c r="AL25" s="1">
        <v>100</v>
      </c>
      <c r="AM25" s="2">
        <v>100</v>
      </c>
    </row>
    <row r="26" spans="1:39" ht="30" customHeight="1" x14ac:dyDescent="0.3">
      <c r="A26" s="3" t="s">
        <v>82</v>
      </c>
      <c r="B26" s="3" t="s">
        <v>290</v>
      </c>
      <c r="C26" s="3" t="s">
        <v>49</v>
      </c>
      <c r="D26" s="3" t="s">
        <v>317</v>
      </c>
      <c r="E26" s="6">
        <v>0</v>
      </c>
      <c r="F26" s="3" t="s">
        <v>300</v>
      </c>
      <c r="G26" s="6">
        <v>0</v>
      </c>
      <c r="H26" s="3" t="s">
        <v>300</v>
      </c>
      <c r="I26" s="6">
        <v>0</v>
      </c>
      <c r="J26" s="3"/>
      <c r="K26" s="6">
        <v>0</v>
      </c>
      <c r="L26" s="3" t="s">
        <v>300</v>
      </c>
      <c r="M26" s="6">
        <v>0</v>
      </c>
      <c r="N26" s="3"/>
      <c r="O26" s="6">
        <v>0</v>
      </c>
      <c r="P26" s="3" t="s">
        <v>300</v>
      </c>
      <c r="Q26" s="6">
        <v>0</v>
      </c>
      <c r="R26" s="3"/>
      <c r="S26" s="6">
        <v>0</v>
      </c>
      <c r="T26" s="3" t="s">
        <v>300</v>
      </c>
      <c r="U26" s="6">
        <f>0*AK26/ 100</f>
        <v>0</v>
      </c>
      <c r="V26" s="6">
        <f>ROUND(0 * 공사설정!$C$25 / 100*AL26/ 100,2)</f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f>ROUND(IF(MIN(W26:AD26)=AVERAGE(W26:AD26), 0, IF(MIN(W26:AD26)&lt;0, MIN(W26:AD26), SMALL(W26:AD26,COUNTIF(W26:AD26,0)+1))) * 공사설정!$C$26 / 100*AM26/ 100,2)</f>
        <v>0</v>
      </c>
      <c r="AF26" s="3" t="s">
        <v>300</v>
      </c>
      <c r="AG26" s="3" t="s">
        <v>300</v>
      </c>
      <c r="AH26" s="3" t="s">
        <v>300</v>
      </c>
      <c r="AJ26" s="3" t="s">
        <v>300</v>
      </c>
      <c r="AK26" s="1">
        <v>100</v>
      </c>
      <c r="AL26" s="1">
        <v>100</v>
      </c>
      <c r="AM26" s="2">
        <v>100</v>
      </c>
    </row>
    <row r="27" spans="1:39" ht="30" customHeight="1" x14ac:dyDescent="0.3">
      <c r="A27" s="3" t="s">
        <v>217</v>
      </c>
      <c r="B27" s="3" t="s">
        <v>301</v>
      </c>
      <c r="C27" s="3" t="s">
        <v>352</v>
      </c>
      <c r="D27" s="3" t="s">
        <v>51</v>
      </c>
      <c r="E27" s="6">
        <v>0</v>
      </c>
      <c r="F27" s="3" t="s">
        <v>300</v>
      </c>
      <c r="G27" s="1">
        <v>31300</v>
      </c>
      <c r="H27" s="3" t="s">
        <v>218</v>
      </c>
      <c r="I27" s="6">
        <v>0</v>
      </c>
      <c r="J27" s="3"/>
      <c r="K27" s="6">
        <v>0</v>
      </c>
      <c r="L27" s="3" t="s">
        <v>300</v>
      </c>
      <c r="M27" s="6">
        <v>0</v>
      </c>
      <c r="N27" s="3"/>
      <c r="O27" s="6">
        <v>0</v>
      </c>
      <c r="P27" s="3" t="s">
        <v>300</v>
      </c>
      <c r="Q27" s="6">
        <v>0</v>
      </c>
      <c r="R27" s="3"/>
      <c r="S27" s="6">
        <v>0</v>
      </c>
      <c r="T27" s="3" t="s">
        <v>300</v>
      </c>
      <c r="U27" s="6">
        <f>ROUND(IF(MIN(E27,G27,I27,K27,M27,O27,Q27,S27)&lt;0, MIN(E27,G27,I27,K27,M27,O27,Q27,S27), SMALL(E27:T27,COUNTIF(E27:T27,0)+1)) * 공사설정!$C$24 / 100*AK27/ 100, 2)</f>
        <v>31300</v>
      </c>
      <c r="V27" s="6">
        <f>ROUND(0 * 공사설정!$C$25 / 100*AL27/ 100,2)</f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f>ROUND(IF(MIN(W27:AD27)=AVERAGE(W27:AD27), 0, IF(MIN(W27:AD27)&lt;0, MIN(W27:AD27), SMALL(W27:AD27,COUNTIF(W27:AD27,0)+1))) * 공사설정!$C$26 / 100*AM27/ 100,2)</f>
        <v>0</v>
      </c>
      <c r="AF27" s="3" t="s">
        <v>300</v>
      </c>
      <c r="AG27" s="3" t="s">
        <v>300</v>
      </c>
      <c r="AH27" s="3" t="s">
        <v>300</v>
      </c>
      <c r="AJ27" s="3" t="s">
        <v>300</v>
      </c>
      <c r="AK27" s="1">
        <v>100</v>
      </c>
      <c r="AL27" s="1">
        <v>100</v>
      </c>
      <c r="AM27" s="2">
        <v>100</v>
      </c>
    </row>
    <row r="28" spans="1:39" ht="30" customHeight="1" x14ac:dyDescent="0.3">
      <c r="A28" s="3" t="s">
        <v>209</v>
      </c>
      <c r="B28" s="3" t="s">
        <v>140</v>
      </c>
      <c r="C28" s="3" t="s">
        <v>213</v>
      </c>
      <c r="D28" s="3" t="s">
        <v>317</v>
      </c>
      <c r="E28" s="6">
        <v>0</v>
      </c>
      <c r="F28" s="3" t="s">
        <v>300</v>
      </c>
      <c r="G28" s="6">
        <v>0</v>
      </c>
      <c r="H28" s="3" t="s">
        <v>300</v>
      </c>
      <c r="I28" s="6">
        <v>0</v>
      </c>
      <c r="J28" s="3"/>
      <c r="K28" s="6">
        <v>0</v>
      </c>
      <c r="L28" s="3" t="s">
        <v>300</v>
      </c>
      <c r="M28" s="1">
        <v>7.2</v>
      </c>
      <c r="N28" s="3" t="s">
        <v>155</v>
      </c>
      <c r="O28" s="6">
        <v>0</v>
      </c>
      <c r="P28" s="3" t="s">
        <v>300</v>
      </c>
      <c r="Q28" s="6">
        <v>0</v>
      </c>
      <c r="R28" s="3"/>
      <c r="S28" s="6">
        <v>0</v>
      </c>
      <c r="T28" s="3" t="s">
        <v>300</v>
      </c>
      <c r="U28" s="6">
        <f>ROUND(IF(MIN(E28,G28,I28,K28,M28,O28,Q28,S28)&lt;0, MIN(E28,G28,I28,K28,M28,O28,Q28,S28), SMALL(E28:T28,COUNTIF(E28:T28,0)+1)) * 공사설정!$C$24 / 100*AK28/ 100, 2)</f>
        <v>7.2</v>
      </c>
      <c r="V28" s="6">
        <f>ROUND(0 * 공사설정!$C$25 / 100*AL28/ 100,2)</f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f>ROUND(IF(MIN(W28:AD28)=AVERAGE(W28:AD28), 0, IF(MIN(W28:AD28)&lt;0, MIN(W28:AD28), SMALL(W28:AD28,COUNTIF(W28:AD28,0)+1))) * 공사설정!$C$26 / 100*AM28/ 100,2)</f>
        <v>0</v>
      </c>
      <c r="AF28" s="3" t="s">
        <v>300</v>
      </c>
      <c r="AG28" s="3" t="s">
        <v>300</v>
      </c>
      <c r="AH28" s="3" t="s">
        <v>300</v>
      </c>
      <c r="AJ28" s="3" t="s">
        <v>300</v>
      </c>
      <c r="AK28" s="1">
        <v>100</v>
      </c>
      <c r="AL28" s="1">
        <v>100</v>
      </c>
      <c r="AM28" s="2">
        <v>100</v>
      </c>
    </row>
    <row r="29" spans="1:39" ht="30" customHeight="1" x14ac:dyDescent="0.3">
      <c r="A29" s="3" t="s">
        <v>166</v>
      </c>
      <c r="B29" s="3" t="s">
        <v>144</v>
      </c>
      <c r="C29" s="3" t="s">
        <v>242</v>
      </c>
      <c r="D29" s="3" t="s">
        <v>344</v>
      </c>
      <c r="E29" s="1">
        <v>217</v>
      </c>
      <c r="F29" s="3"/>
      <c r="G29" s="1">
        <v>3250</v>
      </c>
      <c r="H29" s="3" t="s">
        <v>72</v>
      </c>
      <c r="I29" s="6">
        <v>0</v>
      </c>
      <c r="J29" s="3"/>
      <c r="K29" s="6">
        <v>0</v>
      </c>
      <c r="L29" s="3" t="s">
        <v>300</v>
      </c>
      <c r="M29" s="6">
        <v>0</v>
      </c>
      <c r="N29" s="3"/>
      <c r="O29" s="6">
        <v>0</v>
      </c>
      <c r="P29" s="3" t="s">
        <v>300</v>
      </c>
      <c r="Q29" s="6">
        <v>0</v>
      </c>
      <c r="R29" s="3"/>
      <c r="S29" s="6">
        <v>0</v>
      </c>
      <c r="T29" s="3" t="s">
        <v>300</v>
      </c>
      <c r="U29" s="6">
        <f>ROUND(IF(MIN(E29,G29,I29,K29,M29,O29,Q29,S29)&lt;0, MIN(E29,G29,I29,K29,M29,O29,Q29,S29), SMALL(E29:T29,COUNTIF(E29:T29,0)+1)) * 공사설정!$C$24 / 100*AK29/ 100, 2)</f>
        <v>217</v>
      </c>
      <c r="V29" s="6">
        <f>ROUND(0 * 공사설정!$C$25 / 100*AL29/ 100,2)</f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f>ROUND(IF(MIN(W29:AD29)=AVERAGE(W29:AD29), 0, IF(MIN(W29:AD29)&lt;0, MIN(W29:AD29), SMALL(W29:AD29,COUNTIF(W29:AD29,0)+1))) * 공사설정!$C$26 / 100*AM29/ 100,2)</f>
        <v>0</v>
      </c>
      <c r="AF29" s="3" t="s">
        <v>300</v>
      </c>
      <c r="AG29" s="3" t="s">
        <v>300</v>
      </c>
      <c r="AH29" s="3" t="s">
        <v>300</v>
      </c>
      <c r="AJ29" s="3" t="s">
        <v>300</v>
      </c>
      <c r="AK29" s="1">
        <v>100</v>
      </c>
      <c r="AL29" s="1">
        <v>100</v>
      </c>
      <c r="AM29" s="2">
        <v>100</v>
      </c>
    </row>
    <row r="30" spans="1:39" ht="30" customHeight="1" x14ac:dyDescent="0.3">
      <c r="A30" s="3" t="s">
        <v>117</v>
      </c>
      <c r="B30" s="3" t="s">
        <v>263</v>
      </c>
      <c r="C30" s="3" t="s">
        <v>326</v>
      </c>
      <c r="D30" s="3" t="s">
        <v>44</v>
      </c>
      <c r="E30" s="1">
        <v>2692</v>
      </c>
      <c r="F30" s="3"/>
      <c r="G30" s="6">
        <v>0</v>
      </c>
      <c r="H30" s="3" t="s">
        <v>300</v>
      </c>
      <c r="I30" s="6">
        <v>0</v>
      </c>
      <c r="J30" s="3"/>
      <c r="K30" s="6">
        <v>0</v>
      </c>
      <c r="L30" s="3" t="s">
        <v>300</v>
      </c>
      <c r="M30" s="6">
        <v>0</v>
      </c>
      <c r="N30" s="3"/>
      <c r="O30" s="6">
        <v>0</v>
      </c>
      <c r="P30" s="3" t="s">
        <v>300</v>
      </c>
      <c r="Q30" s="6">
        <v>0</v>
      </c>
      <c r="R30" s="3"/>
      <c r="S30" s="6">
        <v>0</v>
      </c>
      <c r="T30" s="3" t="s">
        <v>300</v>
      </c>
      <c r="U30" s="6">
        <f>ROUND(IF(MIN(E30,G30,I30,K30,M30,O30,Q30,S30)&lt;0, MIN(E30,G30,I30,K30,M30,O30,Q30,S30), SMALL(E30:T30,COUNTIF(E30:T30,0)+1)) * 공사설정!$C$24 / 100*AK30/ 100, 2)</f>
        <v>2692</v>
      </c>
      <c r="V30" s="6">
        <f>ROUND(0 * 공사설정!$C$25 / 100*AL30/ 100,2)</f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f>ROUND(IF(MIN(W30:AD30)=AVERAGE(W30:AD30), 0, IF(MIN(W30:AD30)&lt;0, MIN(W30:AD30), SMALL(W30:AD30,COUNTIF(W30:AD30,0)+1))) * 공사설정!$C$26 / 100*AM30/ 100,2)</f>
        <v>0</v>
      </c>
      <c r="AF30" s="3" t="s">
        <v>300</v>
      </c>
      <c r="AG30" s="3" t="s">
        <v>300</v>
      </c>
      <c r="AH30" s="3" t="s">
        <v>300</v>
      </c>
      <c r="AJ30" s="3" t="s">
        <v>300</v>
      </c>
      <c r="AK30" s="1">
        <v>100</v>
      </c>
      <c r="AL30" s="1">
        <v>100</v>
      </c>
      <c r="AM30" s="2">
        <v>100</v>
      </c>
    </row>
    <row r="31" spans="1:39" ht="30" customHeight="1" x14ac:dyDescent="0.3">
      <c r="A31" s="3" t="s">
        <v>308</v>
      </c>
      <c r="B31" s="3" t="s">
        <v>119</v>
      </c>
      <c r="C31" s="3" t="s">
        <v>70</v>
      </c>
      <c r="D31" s="3" t="s">
        <v>244</v>
      </c>
      <c r="E31" s="1">
        <v>4844</v>
      </c>
      <c r="F31" s="3"/>
      <c r="G31" s="6">
        <v>0</v>
      </c>
      <c r="H31" s="3"/>
      <c r="I31" s="6">
        <v>0</v>
      </c>
      <c r="J31" s="3"/>
      <c r="K31" s="6">
        <v>0</v>
      </c>
      <c r="L31" s="3" t="s">
        <v>300</v>
      </c>
      <c r="M31" s="1">
        <v>4849.17</v>
      </c>
      <c r="N31" s="3" t="s">
        <v>189</v>
      </c>
      <c r="O31" s="6">
        <v>0</v>
      </c>
      <c r="P31" s="3" t="s">
        <v>300</v>
      </c>
      <c r="Q31" s="6">
        <v>0</v>
      </c>
      <c r="R31" s="3"/>
      <c r="S31" s="6">
        <v>0</v>
      </c>
      <c r="T31" s="3" t="s">
        <v>300</v>
      </c>
      <c r="U31" s="6">
        <f>ROUND(IF(MIN(E31,G31,I31,K31,M31,O31,Q31,S31)&lt;0, MIN(E31,G31,I31,K31,M31,O31,Q31,S31), SMALL(E31:T31,COUNTIF(E31:T31,0)+1)) * 공사설정!$C$24 / 100*AK31/ 100, 2)</f>
        <v>4844</v>
      </c>
      <c r="V31" s="6">
        <f>ROUND(0 * 공사설정!$C$25 / 100*AL31/ 100,2)</f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f>ROUND(IF(MIN(W31:AD31)=AVERAGE(W31:AD31), 0, IF(MIN(W31:AD31)&lt;0, MIN(W31:AD31), SMALL(W31:AD31,COUNTIF(W31:AD31,0)+1))) * 공사설정!$C$26 / 100*AM31/ 100,2)</f>
        <v>0</v>
      </c>
      <c r="AF31" s="3" t="s">
        <v>148</v>
      </c>
      <c r="AG31" s="3" t="s">
        <v>300</v>
      </c>
      <c r="AH31" s="3" t="s">
        <v>300</v>
      </c>
      <c r="AJ31" s="3" t="s">
        <v>300</v>
      </c>
      <c r="AK31" s="1">
        <v>100</v>
      </c>
      <c r="AL31" s="1">
        <v>100</v>
      </c>
      <c r="AM31" s="2">
        <v>100</v>
      </c>
    </row>
    <row r="32" spans="1:39" ht="30" customHeight="1" x14ac:dyDescent="0.3">
      <c r="A32" s="3" t="s">
        <v>197</v>
      </c>
      <c r="B32" s="3" t="s">
        <v>119</v>
      </c>
      <c r="C32" s="3" t="s">
        <v>135</v>
      </c>
      <c r="D32" s="3" t="s">
        <v>44</v>
      </c>
      <c r="E32" s="1">
        <v>2306.4499999999998</v>
      </c>
      <c r="F32" s="3" t="s">
        <v>300</v>
      </c>
      <c r="G32" s="6">
        <v>0</v>
      </c>
      <c r="H32" s="3" t="s">
        <v>300</v>
      </c>
      <c r="I32" s="6">
        <v>0</v>
      </c>
      <c r="J32" s="3"/>
      <c r="K32" s="6">
        <v>0</v>
      </c>
      <c r="L32" s="3" t="s">
        <v>300</v>
      </c>
      <c r="M32" s="6">
        <v>0</v>
      </c>
      <c r="N32" s="3"/>
      <c r="O32" s="6">
        <v>0</v>
      </c>
      <c r="P32" s="3" t="s">
        <v>300</v>
      </c>
      <c r="Q32" s="6">
        <v>0</v>
      </c>
      <c r="R32" s="3"/>
      <c r="S32" s="6">
        <v>0</v>
      </c>
      <c r="T32" s="3" t="s">
        <v>300</v>
      </c>
      <c r="U32" s="6">
        <f>ROUND(IF(MIN(E32,G32,I32,K32,M32,O32,Q32,S32)&lt;0, MIN(E32,G32,I32,K32,M32,O32,Q32,S32), SMALL(E32:T32,COUNTIF(E32:T32,0)+1)) * 공사설정!$C$24 / 100*AK32/ 100, 2)</f>
        <v>2306.4499999999998</v>
      </c>
      <c r="V32" s="6">
        <f>ROUND(0 * 공사설정!$C$25 / 100*AL32/ 100,2)</f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f>ROUND(IF(MIN(W32:AD32)=AVERAGE(W32:AD32), 0, IF(MIN(W32:AD32)&lt;0, MIN(W32:AD32), SMALL(W32:AD32,COUNTIF(W32:AD32,0)+1))) * 공사설정!$C$26 / 100*AM32/ 100,2)</f>
        <v>0</v>
      </c>
      <c r="AF32" s="3" t="s">
        <v>148</v>
      </c>
      <c r="AG32" s="3" t="s">
        <v>300</v>
      </c>
      <c r="AH32" s="3" t="s">
        <v>300</v>
      </c>
      <c r="AJ32" s="3" t="s">
        <v>300</v>
      </c>
      <c r="AK32" s="1">
        <v>100</v>
      </c>
      <c r="AL32" s="1">
        <v>100</v>
      </c>
      <c r="AM32" s="2">
        <v>100</v>
      </c>
    </row>
    <row r="33" spans="1:39" ht="30" customHeight="1" x14ac:dyDescent="0.3">
      <c r="A33" s="3" t="s">
        <v>292</v>
      </c>
      <c r="B33" s="3" t="s">
        <v>119</v>
      </c>
      <c r="C33" s="3" t="s">
        <v>8</v>
      </c>
      <c r="D33" s="3" t="s">
        <v>44</v>
      </c>
      <c r="E33" s="6">
        <v>0</v>
      </c>
      <c r="F33" s="3" t="s">
        <v>300</v>
      </c>
      <c r="G33" s="1">
        <v>5675</v>
      </c>
      <c r="H33" s="3" t="s">
        <v>324</v>
      </c>
      <c r="I33" s="6">
        <v>0</v>
      </c>
      <c r="J33" s="3"/>
      <c r="K33" s="6">
        <v>0</v>
      </c>
      <c r="L33" s="3" t="s">
        <v>300</v>
      </c>
      <c r="M33" s="6">
        <v>0</v>
      </c>
      <c r="N33" s="3"/>
      <c r="O33" s="6">
        <v>0</v>
      </c>
      <c r="P33" s="3" t="s">
        <v>300</v>
      </c>
      <c r="Q33" s="6">
        <v>0</v>
      </c>
      <c r="R33" s="3"/>
      <c r="S33" s="6">
        <v>0</v>
      </c>
      <c r="T33" s="3" t="s">
        <v>300</v>
      </c>
      <c r="U33" s="6">
        <f>ROUND(IF(MIN(E33,G33,I33,K33,M33,O33,Q33,S33)&lt;0, MIN(E33,G33,I33,K33,M33,O33,Q33,S33), SMALL(E33:T33,COUNTIF(E33:T33,0)+1)) * 공사설정!$C$24 / 100*AK33/ 100, 2)</f>
        <v>5675</v>
      </c>
      <c r="V33" s="6">
        <f>ROUND(0 * 공사설정!$C$25 / 100*AL33/ 100,2)</f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f>ROUND(IF(MIN(W33:AD33)=AVERAGE(W33:AD33), 0, IF(MIN(W33:AD33)&lt;0, MIN(W33:AD33), SMALL(W33:AD33,COUNTIF(W33:AD33,0)+1))) * 공사설정!$C$26 / 100*AM33/ 100,2)</f>
        <v>0</v>
      </c>
      <c r="AF33" s="3" t="s">
        <v>148</v>
      </c>
      <c r="AG33" s="3" t="s">
        <v>300</v>
      </c>
      <c r="AH33" s="3" t="s">
        <v>300</v>
      </c>
      <c r="AJ33" s="3" t="s">
        <v>300</v>
      </c>
      <c r="AK33" s="1">
        <v>100</v>
      </c>
      <c r="AL33" s="1">
        <v>100</v>
      </c>
      <c r="AM33" s="2">
        <v>100</v>
      </c>
    </row>
    <row r="34" spans="1:39" ht="30" customHeight="1" x14ac:dyDescent="0.3">
      <c r="A34" s="3" t="s">
        <v>237</v>
      </c>
      <c r="B34" s="3" t="s">
        <v>338</v>
      </c>
      <c r="C34" s="3" t="s">
        <v>310</v>
      </c>
      <c r="D34" s="3" t="s">
        <v>244</v>
      </c>
      <c r="E34" s="6">
        <v>0</v>
      </c>
      <c r="F34" s="3" t="s">
        <v>300</v>
      </c>
      <c r="G34" s="6">
        <v>0</v>
      </c>
      <c r="H34" s="3" t="s">
        <v>300</v>
      </c>
      <c r="I34" s="6">
        <v>0</v>
      </c>
      <c r="J34" s="3"/>
      <c r="K34" s="6">
        <v>0</v>
      </c>
      <c r="L34" s="3" t="s">
        <v>300</v>
      </c>
      <c r="M34" s="6">
        <v>0</v>
      </c>
      <c r="N34" s="3"/>
      <c r="O34" s="1">
        <v>3767</v>
      </c>
      <c r="P34" s="3" t="s">
        <v>300</v>
      </c>
      <c r="Q34" s="6">
        <v>0</v>
      </c>
      <c r="R34" s="3"/>
      <c r="S34" s="6">
        <v>0</v>
      </c>
      <c r="T34" s="3" t="s">
        <v>300</v>
      </c>
      <c r="U34" s="6">
        <f>ROUND(IF(MIN(E34,G34,I34,K34,M34,O34,Q34,S34)&lt;0, MIN(E34,G34,I34,K34,M34,O34,Q34,S34), SMALL(E34:T34,COUNTIF(E34:T34,0)+1)) * 공사설정!$C$24 / 100*AK34/ 100, 2)</f>
        <v>3767</v>
      </c>
      <c r="V34" s="6">
        <f>ROUND(0 * 공사설정!$C$25 / 100*AL34/ 100,2)</f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f>ROUND(IF(MIN(W34:AD34)=AVERAGE(W34:AD34), 0, IF(MIN(W34:AD34)&lt;0, MIN(W34:AD34), SMALL(W34:AD34,COUNTIF(W34:AD34,0)+1))) * 공사설정!$C$26 / 100*AM34/ 100,2)</f>
        <v>0</v>
      </c>
      <c r="AF34" s="3" t="s">
        <v>300</v>
      </c>
      <c r="AG34" s="3" t="s">
        <v>300</v>
      </c>
      <c r="AH34" s="3" t="s">
        <v>300</v>
      </c>
      <c r="AJ34" s="3" t="s">
        <v>300</v>
      </c>
      <c r="AK34" s="1">
        <v>100</v>
      </c>
      <c r="AL34" s="1">
        <v>100</v>
      </c>
      <c r="AM34" s="2">
        <v>100</v>
      </c>
    </row>
    <row r="35" spans="1:39" ht="30" customHeight="1" x14ac:dyDescent="0.3">
      <c r="A35" s="3" t="s">
        <v>199</v>
      </c>
      <c r="B35" s="3" t="s">
        <v>114</v>
      </c>
      <c r="C35" s="3" t="s">
        <v>99</v>
      </c>
      <c r="D35" s="3" t="s">
        <v>244</v>
      </c>
      <c r="E35" s="1">
        <v>5593</v>
      </c>
      <c r="F35" s="3"/>
      <c r="G35" s="6">
        <v>0</v>
      </c>
      <c r="H35" s="3" t="s">
        <v>300</v>
      </c>
      <c r="I35" s="6">
        <v>0</v>
      </c>
      <c r="J35" s="3"/>
      <c r="K35" s="6">
        <v>0</v>
      </c>
      <c r="L35" s="3" t="s">
        <v>300</v>
      </c>
      <c r="M35" s="6">
        <v>0</v>
      </c>
      <c r="N35" s="3"/>
      <c r="O35" s="6">
        <v>0</v>
      </c>
      <c r="P35" s="3" t="s">
        <v>300</v>
      </c>
      <c r="Q35" s="6">
        <v>0</v>
      </c>
      <c r="R35" s="3"/>
      <c r="S35" s="6">
        <v>0</v>
      </c>
      <c r="T35" s="3" t="s">
        <v>300</v>
      </c>
      <c r="U35" s="6">
        <f>ROUND(IF(MIN(E35,G35,I35,K35,M35,O35,Q35,S35)&lt;0, MIN(E35,G35,I35,K35,M35,O35,Q35,S35), SMALL(E35:T35,COUNTIF(E35:T35,0)+1)) * 공사설정!$C$24 / 100*AK35/ 100, 2)</f>
        <v>5593</v>
      </c>
      <c r="V35" s="6">
        <f>ROUND(0 * 공사설정!$C$25 / 100*AL35/ 100,2)</f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f>ROUND(IF(MIN(W35:AD35)=AVERAGE(W35:AD35), 0, IF(MIN(W35:AD35)&lt;0, MIN(W35:AD35), SMALL(W35:AD35,COUNTIF(W35:AD35,0)+1))) * 공사설정!$C$26 / 100*AM35/ 100,2)</f>
        <v>0</v>
      </c>
      <c r="AF35" s="3" t="s">
        <v>300</v>
      </c>
      <c r="AG35" s="3" t="s">
        <v>300</v>
      </c>
      <c r="AH35" s="3" t="s">
        <v>300</v>
      </c>
      <c r="AJ35" s="3" t="s">
        <v>300</v>
      </c>
      <c r="AK35" s="1">
        <v>100</v>
      </c>
      <c r="AL35" s="1">
        <v>100</v>
      </c>
      <c r="AM35" s="2">
        <v>100</v>
      </c>
    </row>
    <row r="36" spans="1:39" ht="30" customHeight="1" x14ac:dyDescent="0.3">
      <c r="A36" s="3" t="s">
        <v>291</v>
      </c>
      <c r="B36" s="3" t="s">
        <v>304</v>
      </c>
      <c r="C36" s="3" t="s">
        <v>331</v>
      </c>
      <c r="D36" s="3" t="s">
        <v>244</v>
      </c>
      <c r="E36" s="1">
        <v>6066</v>
      </c>
      <c r="F36" s="3"/>
      <c r="G36" s="1">
        <v>10556</v>
      </c>
      <c r="H36" s="3" t="s">
        <v>151</v>
      </c>
      <c r="I36" s="6">
        <v>0</v>
      </c>
      <c r="J36" s="3"/>
      <c r="K36" s="1">
        <v>12277.8</v>
      </c>
      <c r="L36" s="3" t="s">
        <v>255</v>
      </c>
      <c r="M36" s="6">
        <v>0</v>
      </c>
      <c r="N36" s="3"/>
      <c r="O36" s="6">
        <v>0</v>
      </c>
      <c r="P36" s="3" t="s">
        <v>300</v>
      </c>
      <c r="Q36" s="6">
        <v>0</v>
      </c>
      <c r="R36" s="3"/>
      <c r="S36" s="6">
        <v>0</v>
      </c>
      <c r="T36" s="3" t="s">
        <v>300</v>
      </c>
      <c r="U36" s="6">
        <f>ROUND(IF(MIN(E36,G36,I36,K36,M36,O36,Q36,S36)&lt;0, MIN(E36,G36,I36,K36,M36,O36,Q36,S36), SMALL(E36:T36,COUNTIF(E36:T36,0)+1)) * 공사설정!$C$24 / 100*AK36/ 100, 2)</f>
        <v>6066</v>
      </c>
      <c r="V36" s="6">
        <f>ROUND(0 * 공사설정!$C$25 / 100*AL36/ 100,2)</f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f>ROUND(IF(MIN(W36:AD36)=AVERAGE(W36:AD36), 0, IF(MIN(W36:AD36)&lt;0, MIN(W36:AD36), SMALL(W36:AD36,COUNTIF(W36:AD36,0)+1))) * 공사설정!$C$26 / 100*AM36/ 100,2)</f>
        <v>0</v>
      </c>
      <c r="AF36" s="3" t="s">
        <v>300</v>
      </c>
      <c r="AG36" s="3" t="s">
        <v>300</v>
      </c>
      <c r="AH36" s="3" t="s">
        <v>300</v>
      </c>
      <c r="AJ36" s="3" t="s">
        <v>300</v>
      </c>
      <c r="AK36" s="1">
        <v>100</v>
      </c>
      <c r="AL36" s="1">
        <v>100</v>
      </c>
      <c r="AM36" s="2">
        <v>100</v>
      </c>
    </row>
    <row r="37" spans="1:39" ht="30" customHeight="1" x14ac:dyDescent="0.3">
      <c r="A37" s="3" t="s">
        <v>9</v>
      </c>
      <c r="B37" s="3" t="s">
        <v>28</v>
      </c>
      <c r="C37" s="3" t="s">
        <v>188</v>
      </c>
      <c r="D37" s="3" t="s">
        <v>244</v>
      </c>
      <c r="E37" s="6">
        <v>0</v>
      </c>
      <c r="F37" s="3" t="s">
        <v>300</v>
      </c>
      <c r="G37" s="1">
        <v>3494</v>
      </c>
      <c r="H37" s="3" t="s">
        <v>151</v>
      </c>
      <c r="I37" s="6">
        <v>0</v>
      </c>
      <c r="J37" s="3"/>
      <c r="K37" s="6">
        <v>0</v>
      </c>
      <c r="L37" s="3" t="s">
        <v>300</v>
      </c>
      <c r="M37" s="6">
        <v>0</v>
      </c>
      <c r="N37" s="3"/>
      <c r="O37" s="6">
        <v>0</v>
      </c>
      <c r="P37" s="3" t="s">
        <v>300</v>
      </c>
      <c r="Q37" s="6">
        <v>0</v>
      </c>
      <c r="R37" s="3"/>
      <c r="S37" s="6">
        <v>0</v>
      </c>
      <c r="T37" s="3" t="s">
        <v>300</v>
      </c>
      <c r="U37" s="6">
        <f>ROUND(IF(MIN(E37,G37,I37,K37,M37,O37,Q37,S37)&lt;0, MIN(E37,G37,I37,K37,M37,O37,Q37,S37), SMALL(E37:T37,COUNTIF(E37:T37,0)+1)) * 공사설정!$C$24 / 100*AK37/ 100, 2)</f>
        <v>3494</v>
      </c>
      <c r="V37" s="6">
        <f>ROUND(0 * 공사설정!$C$25 / 100*AL37/ 100,2)</f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f>ROUND(IF(MIN(W37:AD37)=AVERAGE(W37:AD37), 0, IF(MIN(W37:AD37)&lt;0, MIN(W37:AD37), SMALL(W37:AD37,COUNTIF(W37:AD37,0)+1))) * 공사설정!$C$26 / 100*AM37/ 100,2)</f>
        <v>0</v>
      </c>
      <c r="AF37" s="3" t="s">
        <v>300</v>
      </c>
      <c r="AG37" s="3" t="s">
        <v>300</v>
      </c>
      <c r="AH37" s="3" t="s">
        <v>300</v>
      </c>
      <c r="AJ37" s="3" t="s">
        <v>300</v>
      </c>
      <c r="AK37" s="1">
        <v>100</v>
      </c>
      <c r="AL37" s="1">
        <v>100</v>
      </c>
      <c r="AM37" s="2">
        <v>100</v>
      </c>
    </row>
    <row r="38" spans="1:39" ht="30" customHeight="1" x14ac:dyDescent="0.3">
      <c r="A38" s="3" t="s">
        <v>193</v>
      </c>
      <c r="B38" s="3" t="s">
        <v>28</v>
      </c>
      <c r="C38" s="3" t="s">
        <v>267</v>
      </c>
      <c r="D38" s="3" t="s">
        <v>244</v>
      </c>
      <c r="E38" s="6">
        <v>0</v>
      </c>
      <c r="F38" s="3" t="s">
        <v>300</v>
      </c>
      <c r="G38" s="1">
        <v>3583</v>
      </c>
      <c r="H38" s="3" t="s">
        <v>151</v>
      </c>
      <c r="I38" s="6">
        <v>0</v>
      </c>
      <c r="J38" s="3"/>
      <c r="K38" s="6">
        <v>0</v>
      </c>
      <c r="L38" s="3" t="s">
        <v>300</v>
      </c>
      <c r="M38" s="6">
        <v>0</v>
      </c>
      <c r="N38" s="3"/>
      <c r="O38" s="6">
        <v>0</v>
      </c>
      <c r="P38" s="3" t="s">
        <v>300</v>
      </c>
      <c r="Q38" s="6">
        <v>0</v>
      </c>
      <c r="R38" s="3"/>
      <c r="S38" s="6">
        <v>0</v>
      </c>
      <c r="T38" s="3" t="s">
        <v>300</v>
      </c>
      <c r="U38" s="6">
        <f>ROUND(IF(MIN(E38,G38,I38,K38,M38,O38,Q38,S38)&lt;0, MIN(E38,G38,I38,K38,M38,O38,Q38,S38), SMALL(E38:T38,COUNTIF(E38:T38,0)+1)) * 공사설정!$C$24 / 100*AK38/ 100, 2)</f>
        <v>3583</v>
      </c>
      <c r="V38" s="6">
        <f>ROUND(0 * 공사설정!$C$25 / 100*AL38/ 100,2)</f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f>ROUND(IF(MIN(W38:AD38)=AVERAGE(W38:AD38), 0, IF(MIN(W38:AD38)&lt;0, MIN(W38:AD38), SMALL(W38:AD38,COUNTIF(W38:AD38,0)+1))) * 공사설정!$C$26 / 100*AM38/ 100,2)</f>
        <v>0</v>
      </c>
      <c r="AF38" s="3" t="s">
        <v>300</v>
      </c>
      <c r="AG38" s="3" t="s">
        <v>300</v>
      </c>
      <c r="AH38" s="3" t="s">
        <v>300</v>
      </c>
      <c r="AJ38" s="3" t="s">
        <v>300</v>
      </c>
      <c r="AK38" s="1">
        <v>100</v>
      </c>
      <c r="AL38" s="1">
        <v>100</v>
      </c>
      <c r="AM38" s="2">
        <v>100</v>
      </c>
    </row>
    <row r="39" spans="1:39" ht="30" customHeight="1" x14ac:dyDescent="0.3">
      <c r="A39" s="3" t="s">
        <v>296</v>
      </c>
      <c r="B39" s="3" t="s">
        <v>312</v>
      </c>
      <c r="C39" s="3" t="s">
        <v>88</v>
      </c>
      <c r="D39" s="3" t="s">
        <v>44</v>
      </c>
      <c r="E39" s="6">
        <v>0</v>
      </c>
      <c r="F39" s="3" t="s">
        <v>300</v>
      </c>
      <c r="G39" s="6">
        <v>0</v>
      </c>
      <c r="H39" s="3" t="s">
        <v>300</v>
      </c>
      <c r="I39" s="6">
        <v>0</v>
      </c>
      <c r="J39" s="3"/>
      <c r="K39" s="6">
        <v>0</v>
      </c>
      <c r="L39" s="3" t="s">
        <v>300</v>
      </c>
      <c r="M39" s="6">
        <v>0</v>
      </c>
      <c r="N39" s="3"/>
      <c r="O39" s="6">
        <v>0</v>
      </c>
      <c r="P39" s="3" t="s">
        <v>300</v>
      </c>
      <c r="Q39" s="6">
        <v>0</v>
      </c>
      <c r="R39" s="3"/>
      <c r="S39" s="6">
        <v>0</v>
      </c>
      <c r="T39" s="3" t="s">
        <v>300</v>
      </c>
      <c r="U39" s="6">
        <f>0*AK39/ 100</f>
        <v>0</v>
      </c>
      <c r="V39" s="6">
        <f>ROUND(0 * 공사설정!$C$25 / 100*AL39/ 100,2)</f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f>ROUND(IF(MIN(W39:AD39)=AVERAGE(W39:AD39), 0, IF(MIN(W39:AD39)&lt;0, MIN(W39:AD39), SMALL(W39:AD39,COUNTIF(W39:AD39,0)+1))) * 공사설정!$C$26 / 100*AM39/ 100,2)</f>
        <v>0</v>
      </c>
      <c r="AF39" s="3" t="s">
        <v>300</v>
      </c>
      <c r="AG39" s="3" t="s">
        <v>300</v>
      </c>
      <c r="AH39" s="3" t="s">
        <v>300</v>
      </c>
      <c r="AJ39" s="3" t="s">
        <v>300</v>
      </c>
      <c r="AK39" s="1">
        <v>100</v>
      </c>
      <c r="AL39" s="1">
        <v>100</v>
      </c>
      <c r="AM39" s="2">
        <v>100</v>
      </c>
    </row>
    <row r="40" spans="1:39" ht="30" customHeight="1" x14ac:dyDescent="0.3">
      <c r="A40" s="3" t="s">
        <v>125</v>
      </c>
      <c r="B40" s="3" t="s">
        <v>124</v>
      </c>
      <c r="C40" s="3" t="s">
        <v>7</v>
      </c>
      <c r="D40" s="3" t="s">
        <v>25</v>
      </c>
      <c r="E40" s="6">
        <v>0</v>
      </c>
      <c r="F40" s="3" t="s">
        <v>300</v>
      </c>
      <c r="G40" s="6">
        <v>0</v>
      </c>
      <c r="H40" s="3"/>
      <c r="I40" s="6">
        <v>0</v>
      </c>
      <c r="J40" s="3"/>
      <c r="K40" s="6">
        <v>0</v>
      </c>
      <c r="L40" s="3"/>
      <c r="M40" s="1">
        <v>12000</v>
      </c>
      <c r="N40" s="3" t="s">
        <v>41</v>
      </c>
      <c r="O40" s="6">
        <v>0</v>
      </c>
      <c r="P40" s="3"/>
      <c r="Q40" s="6">
        <v>0</v>
      </c>
      <c r="R40" s="3"/>
      <c r="S40" s="6">
        <v>0</v>
      </c>
      <c r="T40" s="3"/>
      <c r="U40" s="6">
        <f>ROUND(IF(MIN(E40,G40,I40,K40,M40,O40,Q40,S40)&lt;0, MIN(E40,G40,I40,K40,M40,O40,Q40,S40), SMALL(E40:T40,COUNTIF(E40:T40,0)+1)) * 공사설정!$C$24 / 100*AK40/ 100, 2)</f>
        <v>12000</v>
      </c>
      <c r="V40" s="6">
        <f>ROUND(0 * 공사설정!$C$25 / 100*AL40/ 100,2)</f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f>ROUND(IF(MIN(W40:AD40)=AVERAGE(W40:AD40), 0, IF(MIN(W40:AD40)&lt;0, MIN(W40:AD40), SMALL(W40:AD40,COUNTIF(W40:AD40,0)+1))) * 공사설정!$C$26 / 100*AM40/ 100,2)</f>
        <v>0</v>
      </c>
      <c r="AF40" s="3" t="s">
        <v>300</v>
      </c>
      <c r="AG40" s="3" t="s">
        <v>300</v>
      </c>
      <c r="AH40" s="3" t="s">
        <v>300</v>
      </c>
      <c r="AJ40" s="3" t="s">
        <v>300</v>
      </c>
      <c r="AK40" s="1">
        <v>100</v>
      </c>
      <c r="AL40" s="1">
        <v>100</v>
      </c>
      <c r="AM40" s="2">
        <v>100</v>
      </c>
    </row>
    <row r="41" spans="1:39" ht="30" customHeight="1" x14ac:dyDescent="0.3">
      <c r="A41" s="3" t="s">
        <v>192</v>
      </c>
      <c r="B41" s="3" t="s">
        <v>73</v>
      </c>
      <c r="C41" s="3" t="s">
        <v>365</v>
      </c>
      <c r="D41" s="3" t="s">
        <v>25</v>
      </c>
      <c r="E41" s="6">
        <v>0</v>
      </c>
      <c r="F41" s="3"/>
      <c r="G41" s="6">
        <v>0</v>
      </c>
      <c r="H41" s="3"/>
      <c r="I41" s="6">
        <v>0</v>
      </c>
      <c r="J41" s="3"/>
      <c r="K41" s="1">
        <v>30000</v>
      </c>
      <c r="L41" s="3" t="s">
        <v>346</v>
      </c>
      <c r="M41" s="6">
        <v>0</v>
      </c>
      <c r="N41" s="3"/>
      <c r="O41" s="6">
        <v>0</v>
      </c>
      <c r="P41" s="3"/>
      <c r="Q41" s="6">
        <v>0</v>
      </c>
      <c r="R41" s="3"/>
      <c r="S41" s="6">
        <v>0</v>
      </c>
      <c r="T41" s="3"/>
      <c r="U41" s="6">
        <f>ROUND(IF(MIN(E41,G41,I41,K41,M41,O41,Q41,S41)&lt;0, MIN(E41,G41,I41,K41,M41,O41,Q41,S41), SMALL(E41:T41,COUNTIF(E41:T41,0)+1)) * 공사설정!$C$24 / 100*AK41/ 100, 2)</f>
        <v>30000</v>
      </c>
      <c r="V41" s="6">
        <f>ROUND(0 * 공사설정!$C$25 / 100*AL41/ 100,2)</f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f>ROUND(IF(MIN(W41:AD41)=AVERAGE(W41:AD41), 0, IF(MIN(W41:AD41)&lt;0, MIN(W41:AD41), SMALL(W41:AD41,COUNTIF(W41:AD41,0)+1))) * 공사설정!$C$26 / 100*AM41/ 100,2)</f>
        <v>0</v>
      </c>
      <c r="AF41" s="3" t="s">
        <v>141</v>
      </c>
      <c r="AG41" s="3" t="s">
        <v>300</v>
      </c>
      <c r="AH41" s="3" t="s">
        <v>300</v>
      </c>
      <c r="AJ41" s="3" t="s">
        <v>300</v>
      </c>
      <c r="AK41" s="1">
        <v>100</v>
      </c>
      <c r="AL41" s="1">
        <v>100</v>
      </c>
      <c r="AM41" s="2">
        <v>100</v>
      </c>
    </row>
    <row r="42" spans="1:39" ht="30" customHeight="1" x14ac:dyDescent="0.3">
      <c r="A42" s="3" t="s">
        <v>104</v>
      </c>
      <c r="B42" s="3" t="s">
        <v>31</v>
      </c>
      <c r="C42" s="3" t="s">
        <v>179</v>
      </c>
      <c r="D42" s="3" t="s">
        <v>61</v>
      </c>
      <c r="E42" s="6">
        <v>0</v>
      </c>
      <c r="F42" s="3" t="s">
        <v>300</v>
      </c>
      <c r="G42" s="1">
        <v>3340</v>
      </c>
      <c r="H42" s="3" t="s">
        <v>274</v>
      </c>
      <c r="I42" s="6">
        <v>0</v>
      </c>
      <c r="J42" s="3"/>
      <c r="K42" s="1">
        <v>3340</v>
      </c>
      <c r="L42" s="3" t="s">
        <v>181</v>
      </c>
      <c r="M42" s="1">
        <v>3340</v>
      </c>
      <c r="N42" s="3" t="s">
        <v>62</v>
      </c>
      <c r="O42" s="6">
        <v>0</v>
      </c>
      <c r="P42" s="3" t="s">
        <v>300</v>
      </c>
      <c r="Q42" s="6">
        <v>0</v>
      </c>
      <c r="R42" s="3"/>
      <c r="S42" s="6">
        <v>0</v>
      </c>
      <c r="T42" s="3" t="s">
        <v>300</v>
      </c>
      <c r="U42" s="6">
        <f>ROUND(IF(MIN(E42,G42,I42,K42,M42,O42,Q42,S42)&lt;0, MIN(E42,G42,I42,K42,M42,O42,Q42,S42), SMALL(E42:T42,COUNTIF(E42:T42,0)+1)) * 공사설정!$C$24 / 100*AK42/ 100, 2)</f>
        <v>3340</v>
      </c>
      <c r="V42" s="6">
        <f>ROUND(0 * 공사설정!$C$25 / 100*AL42/ 100,2)</f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f>ROUND(IF(MIN(W42:AD42)=AVERAGE(W42:AD42), 0, IF(MIN(W42:AD42)&lt;0, MIN(W42:AD42), SMALL(W42:AD42,COUNTIF(W42:AD42,0)+1))) * 공사설정!$C$26 / 100*AM42/ 100,2)</f>
        <v>0</v>
      </c>
      <c r="AF42" s="3" t="s">
        <v>300</v>
      </c>
      <c r="AG42" s="3" t="s">
        <v>300</v>
      </c>
      <c r="AH42" s="3" t="s">
        <v>300</v>
      </c>
      <c r="AJ42" s="3" t="s">
        <v>245</v>
      </c>
      <c r="AK42" s="1">
        <v>100</v>
      </c>
      <c r="AL42" s="1">
        <v>100</v>
      </c>
      <c r="AM42" s="2">
        <v>100</v>
      </c>
    </row>
    <row r="43" spans="1:39" ht="30" customHeight="1" x14ac:dyDescent="0.3">
      <c r="A43" s="3" t="s">
        <v>138</v>
      </c>
      <c r="B43" s="3" t="s">
        <v>107</v>
      </c>
      <c r="C43" s="3" t="s">
        <v>271</v>
      </c>
      <c r="D43" s="3" t="s">
        <v>61</v>
      </c>
      <c r="E43" s="6">
        <v>0</v>
      </c>
      <c r="F43" s="3" t="s">
        <v>300</v>
      </c>
      <c r="G43" s="1">
        <v>3930</v>
      </c>
      <c r="H43" s="3" t="s">
        <v>274</v>
      </c>
      <c r="I43" s="6">
        <v>0</v>
      </c>
      <c r="J43" s="3"/>
      <c r="K43" s="1">
        <v>3930</v>
      </c>
      <c r="L43" s="3" t="s">
        <v>181</v>
      </c>
      <c r="M43" s="1">
        <v>3930</v>
      </c>
      <c r="N43" s="3" t="s">
        <v>62</v>
      </c>
      <c r="O43" s="6">
        <v>0</v>
      </c>
      <c r="P43" s="3" t="s">
        <v>300</v>
      </c>
      <c r="Q43" s="6">
        <v>0</v>
      </c>
      <c r="R43" s="3"/>
      <c r="S43" s="6">
        <v>0</v>
      </c>
      <c r="T43" s="3" t="s">
        <v>300</v>
      </c>
      <c r="U43" s="6">
        <f>ROUND(IF(MIN(E43,G43,I43,K43,M43,O43,Q43,S43)&lt;0, MIN(E43,G43,I43,K43,M43,O43,Q43,S43), SMALL(E43:T43,COUNTIF(E43:T43,0)+1)) * 공사설정!$C$24 / 100*AK43/ 100, 2)</f>
        <v>3930</v>
      </c>
      <c r="V43" s="6">
        <f>ROUND(0 * 공사설정!$C$25 / 100*AL43/ 100,2)</f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f>ROUND(IF(MIN(W43:AD43)=AVERAGE(W43:AD43), 0, IF(MIN(W43:AD43)&lt;0, MIN(W43:AD43), SMALL(W43:AD43,COUNTIF(W43:AD43,0)+1))) * 공사설정!$C$26 / 100*AM43/ 100,2)</f>
        <v>0</v>
      </c>
      <c r="AF43" s="3" t="s">
        <v>300</v>
      </c>
      <c r="AG43" s="3" t="s">
        <v>300</v>
      </c>
      <c r="AH43" s="3" t="s">
        <v>300</v>
      </c>
      <c r="AJ43" s="3" t="s">
        <v>245</v>
      </c>
      <c r="AK43" s="1">
        <v>100</v>
      </c>
      <c r="AL43" s="1">
        <v>100</v>
      </c>
      <c r="AM43" s="2">
        <v>100</v>
      </c>
    </row>
    <row r="44" spans="1:39" ht="30" customHeight="1" x14ac:dyDescent="0.3">
      <c r="A44" s="3" t="s">
        <v>299</v>
      </c>
      <c r="B44" s="3" t="s">
        <v>222</v>
      </c>
      <c r="C44" s="3" t="s">
        <v>20</v>
      </c>
      <c r="D44" s="3" t="s">
        <v>362</v>
      </c>
      <c r="E44" s="6">
        <v>0</v>
      </c>
      <c r="F44" s="3"/>
      <c r="G44" s="6">
        <v>0</v>
      </c>
      <c r="H44" s="3"/>
      <c r="I44" s="6">
        <v>0</v>
      </c>
      <c r="J44" s="3"/>
      <c r="K44" s="6">
        <v>0</v>
      </c>
      <c r="L44" s="3"/>
      <c r="M44" s="6">
        <v>0</v>
      </c>
      <c r="N44" s="3"/>
      <c r="O44" s="6">
        <v>0</v>
      </c>
      <c r="P44" s="3"/>
      <c r="Q44" s="1">
        <v>200000</v>
      </c>
      <c r="R44" s="3"/>
      <c r="S44" s="6">
        <v>0</v>
      </c>
      <c r="T44" s="3"/>
      <c r="U44" s="6">
        <f>ROUND(IF(MIN(E44,G44,I44,K44,M44,O44,Q44,S44)&lt;0, MIN(E44,G44,I44,K44,M44,O44,Q44,S44), SMALL(E44:T44,COUNTIF(E44:T44,0)+1)) * 공사설정!$C$24 / 100*AK44/ 100, 2)</f>
        <v>200000</v>
      </c>
      <c r="V44" s="6">
        <f>ROUND(0 * 공사설정!$C$25 / 100*AL44/ 100,2)</f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f>ROUND(IF(MIN(W44:AD44)=AVERAGE(W44:AD44), 0, IF(MIN(W44:AD44)&lt;0, MIN(W44:AD44), SMALL(W44:AD44,COUNTIF(W44:AD44,0)+1))) * 공사설정!$C$26 / 100*AM44/ 100,2)</f>
        <v>0</v>
      </c>
      <c r="AF44" s="3"/>
      <c r="AG44" s="3" t="s">
        <v>300</v>
      </c>
      <c r="AH44" s="3" t="s">
        <v>300</v>
      </c>
      <c r="AJ44" s="3" t="s">
        <v>300</v>
      </c>
      <c r="AK44" s="1">
        <v>100</v>
      </c>
      <c r="AL44" s="1">
        <v>100</v>
      </c>
      <c r="AM44" s="2">
        <v>100</v>
      </c>
    </row>
    <row r="45" spans="1:39" ht="30" customHeight="1" x14ac:dyDescent="0.3">
      <c r="A45" s="3" t="s">
        <v>173</v>
      </c>
      <c r="B45" s="3" t="s">
        <v>222</v>
      </c>
      <c r="C45" s="3" t="s">
        <v>321</v>
      </c>
      <c r="D45" s="3" t="s">
        <v>362</v>
      </c>
      <c r="E45" s="6">
        <v>0</v>
      </c>
      <c r="F45" s="3"/>
      <c r="G45" s="6">
        <v>0</v>
      </c>
      <c r="H45" s="3"/>
      <c r="I45" s="6">
        <v>0</v>
      </c>
      <c r="J45" s="3"/>
      <c r="K45" s="6">
        <v>0</v>
      </c>
      <c r="L45" s="3"/>
      <c r="M45" s="6">
        <v>0</v>
      </c>
      <c r="N45" s="3"/>
      <c r="O45" s="1">
        <v>180000</v>
      </c>
      <c r="P45" s="3"/>
      <c r="Q45" s="6">
        <v>0</v>
      </c>
      <c r="R45" s="3"/>
      <c r="S45" s="6">
        <v>0</v>
      </c>
      <c r="T45" s="3"/>
      <c r="U45" s="6">
        <f>ROUND(IF(MIN(E45,G45,I45,K45,M45,O45,Q45,S45)&lt;0, MIN(E45,G45,I45,K45,M45,O45,Q45,S45), SMALL(E45:T45,COUNTIF(E45:T45,0)+1)) * 공사설정!$C$24 / 100*AK45/ 100, 2)</f>
        <v>180000</v>
      </c>
      <c r="V45" s="6">
        <f>ROUND(0 * 공사설정!$C$25 / 100*AL45/ 100,2)</f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f>ROUND(IF(MIN(W45:AD45)=AVERAGE(W45:AD45), 0, IF(MIN(W45:AD45)&lt;0, MIN(W45:AD45), SMALL(W45:AD45,COUNTIF(W45:AD45,0)+1))) * 공사설정!$C$26 / 100*AM45/ 100,2)</f>
        <v>0</v>
      </c>
      <c r="AF45" s="3"/>
      <c r="AG45" s="3" t="s">
        <v>300</v>
      </c>
      <c r="AH45" s="3" t="s">
        <v>300</v>
      </c>
      <c r="AJ45" s="3" t="s">
        <v>300</v>
      </c>
      <c r="AK45" s="1">
        <v>100</v>
      </c>
      <c r="AL45" s="1">
        <v>100</v>
      </c>
      <c r="AM45" s="2">
        <v>100</v>
      </c>
    </row>
    <row r="46" spans="1:39" ht="30" customHeight="1" x14ac:dyDescent="0.3">
      <c r="A46" s="3" t="s">
        <v>226</v>
      </c>
      <c r="B46" s="3" t="s">
        <v>227</v>
      </c>
      <c r="C46" s="3" t="s">
        <v>163</v>
      </c>
      <c r="D46" s="3" t="s">
        <v>325</v>
      </c>
      <c r="E46" s="6">
        <v>0</v>
      </c>
      <c r="F46" s="3"/>
      <c r="G46" s="6">
        <v>0</v>
      </c>
      <c r="H46" s="3"/>
      <c r="I46" s="6">
        <v>0</v>
      </c>
      <c r="J46" s="3"/>
      <c r="K46" s="6">
        <v>0</v>
      </c>
      <c r="L46" s="3"/>
      <c r="M46" s="6">
        <v>0</v>
      </c>
      <c r="N46" s="3"/>
      <c r="O46" s="1">
        <v>2000000</v>
      </c>
      <c r="P46" s="3"/>
      <c r="Q46" s="1">
        <v>2400000</v>
      </c>
      <c r="R46" s="3"/>
      <c r="S46" s="6">
        <v>0</v>
      </c>
      <c r="T46" s="3"/>
      <c r="U46" s="6">
        <f>ROUND(IF(MIN(E46,G46,I46,K46,M46,O46,Q46,S46)&lt;0, MIN(E46,G46,I46,K46,M46,O46,Q46,S46), SMALL(E46:T46,COUNTIF(E46:T46,0)+1)) * 공사설정!$C$24 / 100*AK46/ 100, 2)</f>
        <v>2000000</v>
      </c>
      <c r="V46" s="6">
        <f>ROUND(0 * 공사설정!$C$25 / 100*AL46/ 100,2)</f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f>ROUND(IF(MIN(W46:AD46)=AVERAGE(W46:AD46), 0, IF(MIN(W46:AD46)&lt;0, MIN(W46:AD46), SMALL(W46:AD46,COUNTIF(W46:AD46,0)+1))) * 공사설정!$C$26 / 100*AM46/ 100,2)</f>
        <v>0</v>
      </c>
      <c r="AF46" s="3"/>
      <c r="AG46" s="3" t="s">
        <v>300</v>
      </c>
      <c r="AH46" s="3" t="s">
        <v>300</v>
      </c>
      <c r="AJ46" s="3" t="s">
        <v>300</v>
      </c>
      <c r="AK46" s="1">
        <v>100</v>
      </c>
      <c r="AL46" s="1">
        <v>100</v>
      </c>
      <c r="AM46" s="2">
        <v>100</v>
      </c>
    </row>
    <row r="47" spans="1:39" ht="30" customHeight="1" x14ac:dyDescent="0.3">
      <c r="A47" s="3" t="s">
        <v>6</v>
      </c>
      <c r="B47" s="3" t="s">
        <v>264</v>
      </c>
      <c r="C47" s="3" t="s">
        <v>203</v>
      </c>
      <c r="D47" s="3" t="s">
        <v>325</v>
      </c>
      <c r="E47" s="6">
        <v>0</v>
      </c>
      <c r="F47" s="3"/>
      <c r="G47" s="6">
        <v>0</v>
      </c>
      <c r="H47" s="3"/>
      <c r="I47" s="6">
        <v>0</v>
      </c>
      <c r="J47" s="3"/>
      <c r="K47" s="6">
        <v>0</v>
      </c>
      <c r="L47" s="3"/>
      <c r="M47" s="6">
        <v>0</v>
      </c>
      <c r="N47" s="3"/>
      <c r="O47" s="1">
        <v>750000</v>
      </c>
      <c r="P47" s="3"/>
      <c r="Q47" s="6">
        <v>0</v>
      </c>
      <c r="R47" s="3"/>
      <c r="S47" s="6">
        <v>0</v>
      </c>
      <c r="T47" s="3"/>
      <c r="U47" s="6">
        <f>ROUND(IF(MIN(E47,G47,I47,K47,M47,O47,Q47,S47)&lt;0, MIN(E47,G47,I47,K47,M47,O47,Q47,S47), SMALL(E47:T47,COUNTIF(E47:T47,0)+1)) * 공사설정!$C$24 / 100*AK47/ 100, 2)</f>
        <v>750000</v>
      </c>
      <c r="V47" s="6">
        <f>ROUND(0 * 공사설정!$C$25 / 100*AL47/ 100,2)</f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f>ROUND(IF(MIN(W47:AD47)=AVERAGE(W47:AD47), 0, IF(MIN(W47:AD47)&lt;0, MIN(W47:AD47), SMALL(W47:AD47,COUNTIF(W47:AD47,0)+1))) * 공사설정!$C$26 / 100*AM47/ 100,2)</f>
        <v>0</v>
      </c>
      <c r="AF47" s="3"/>
      <c r="AG47" s="3" t="s">
        <v>300</v>
      </c>
      <c r="AH47" s="3" t="s">
        <v>300</v>
      </c>
      <c r="AJ47" s="3" t="s">
        <v>300</v>
      </c>
      <c r="AK47" s="1">
        <v>100</v>
      </c>
      <c r="AL47" s="1">
        <v>100</v>
      </c>
      <c r="AM47" s="2">
        <v>100</v>
      </c>
    </row>
    <row r="48" spans="1:39" ht="30" customHeight="1" x14ac:dyDescent="0.3">
      <c r="A48" s="3" t="s">
        <v>13</v>
      </c>
      <c r="B48" s="3" t="s">
        <v>315</v>
      </c>
      <c r="C48" s="3" t="s">
        <v>65</v>
      </c>
      <c r="D48" s="3" t="s">
        <v>325</v>
      </c>
      <c r="E48" s="6">
        <v>0</v>
      </c>
      <c r="F48" s="3"/>
      <c r="G48" s="6">
        <v>0</v>
      </c>
      <c r="H48" s="3"/>
      <c r="I48" s="6">
        <v>0</v>
      </c>
      <c r="J48" s="3"/>
      <c r="K48" s="6">
        <v>0</v>
      </c>
      <c r="L48" s="3"/>
      <c r="M48" s="6">
        <v>0</v>
      </c>
      <c r="N48" s="3"/>
      <c r="O48" s="1">
        <v>800000</v>
      </c>
      <c r="P48" s="3"/>
      <c r="Q48" s="6">
        <v>0</v>
      </c>
      <c r="R48" s="3"/>
      <c r="S48" s="6">
        <v>0</v>
      </c>
      <c r="T48" s="3"/>
      <c r="U48" s="6">
        <f>ROUND(IF(MIN(E48,G48,I48,K48,M48,O48,Q48,S48)&lt;0, MIN(E48,G48,I48,K48,M48,O48,Q48,S48), SMALL(E48:T48,COUNTIF(E48:T48,0)+1)) * 공사설정!$C$24 / 100*AK48/ 100, 2)</f>
        <v>800000</v>
      </c>
      <c r="V48" s="6">
        <f>ROUND(0 * 공사설정!$C$25 / 100*AL48/ 100,2)</f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f>ROUND(IF(MIN(W48:AD48)=AVERAGE(W48:AD48), 0, IF(MIN(W48:AD48)&lt;0, MIN(W48:AD48), SMALL(W48:AD48,COUNTIF(W48:AD48,0)+1))) * 공사설정!$C$26 / 100*AM48/ 100,2)</f>
        <v>0</v>
      </c>
      <c r="AF48" s="3"/>
      <c r="AG48" s="3" t="s">
        <v>300</v>
      </c>
      <c r="AH48" s="3" t="s">
        <v>300</v>
      </c>
      <c r="AJ48" s="3" t="s">
        <v>300</v>
      </c>
      <c r="AK48" s="1">
        <v>100</v>
      </c>
      <c r="AL48" s="1">
        <v>100</v>
      </c>
      <c r="AM48" s="2">
        <v>100</v>
      </c>
    </row>
    <row r="49" spans="1:39" ht="30" customHeight="1" x14ac:dyDescent="0.3">
      <c r="A49" s="3" t="s">
        <v>327</v>
      </c>
      <c r="B49" s="3" t="s">
        <v>239</v>
      </c>
      <c r="C49" s="3" t="s">
        <v>300</v>
      </c>
      <c r="D49" s="3" t="s">
        <v>343</v>
      </c>
      <c r="E49" s="6">
        <v>0</v>
      </c>
      <c r="F49" s="3"/>
      <c r="G49" s="6">
        <v>0</v>
      </c>
      <c r="H49" s="3"/>
      <c r="I49" s="6">
        <v>0</v>
      </c>
      <c r="J49" s="3"/>
      <c r="K49" s="6">
        <v>0</v>
      </c>
      <c r="L49" s="3"/>
      <c r="M49" s="6">
        <v>0</v>
      </c>
      <c r="N49" s="3"/>
      <c r="O49" s="6">
        <v>0</v>
      </c>
      <c r="P49" s="3"/>
      <c r="Q49" s="6">
        <v>0</v>
      </c>
      <c r="R49" s="3"/>
      <c r="S49" s="6">
        <v>0</v>
      </c>
      <c r="T49" s="3"/>
      <c r="U49" s="6">
        <f>0*AK49/ 100</f>
        <v>0</v>
      </c>
      <c r="V49" s="6">
        <f>ROUND(600000 * 공사설정!$C$25 / 100*AL49/ 100,2)</f>
        <v>600000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f>ROUND(IF(MIN(W49:AD49)=AVERAGE(W49:AD49), 0, IF(MIN(W49:AD49)&lt;0, MIN(W49:AD49), SMALL(W49:AD49,COUNTIF(W49:AD49,0)+1))) * 공사설정!$C$26 / 100*AM49/ 100,2)</f>
        <v>0</v>
      </c>
      <c r="AF49" s="3"/>
      <c r="AG49" s="3" t="s">
        <v>300</v>
      </c>
      <c r="AH49" s="3" t="s">
        <v>300</v>
      </c>
      <c r="AJ49" s="3" t="s">
        <v>300</v>
      </c>
      <c r="AK49" s="1">
        <v>100</v>
      </c>
      <c r="AL49" s="1">
        <v>100</v>
      </c>
      <c r="AM49" s="2">
        <v>100</v>
      </c>
    </row>
    <row r="50" spans="1:39" ht="30" customHeight="1" x14ac:dyDescent="0.3">
      <c r="A50" s="3" t="s">
        <v>332</v>
      </c>
      <c r="B50" s="3" t="s">
        <v>182</v>
      </c>
      <c r="C50" s="3" t="s">
        <v>368</v>
      </c>
      <c r="D50" s="3" t="s">
        <v>325</v>
      </c>
      <c r="E50" s="6">
        <v>0</v>
      </c>
      <c r="F50" s="3"/>
      <c r="G50" s="6">
        <v>0</v>
      </c>
      <c r="H50" s="3"/>
      <c r="I50" s="6">
        <v>0</v>
      </c>
      <c r="J50" s="3"/>
      <c r="K50" s="6">
        <v>0</v>
      </c>
      <c r="L50" s="3"/>
      <c r="M50" s="6">
        <v>0</v>
      </c>
      <c r="N50" s="3"/>
      <c r="O50" s="1">
        <v>2200000</v>
      </c>
      <c r="P50" s="3"/>
      <c r="Q50" s="1">
        <v>2400000</v>
      </c>
      <c r="R50" s="3"/>
      <c r="S50" s="6">
        <v>0</v>
      </c>
      <c r="T50" s="3"/>
      <c r="U50" s="6">
        <f>ROUND(IF(MIN(E50,G50,I50,K50,M50,O50,Q50,S50)&lt;0, MIN(E50,G50,I50,K50,M50,O50,Q50,S50), SMALL(E50:T50,COUNTIF(E50:T50,0)+1)) * 공사설정!$C$24 / 100*AK50/ 100, 2)</f>
        <v>2200000</v>
      </c>
      <c r="V50" s="6">
        <f>ROUND(0 * 공사설정!$C$25 / 100*AL50/ 100,2)</f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f>ROUND(IF(MIN(W50:AD50)=AVERAGE(W50:AD50), 0, IF(MIN(W50:AD50)&lt;0, MIN(W50:AD50), SMALL(W50:AD50,COUNTIF(W50:AD50,0)+1))) * 공사설정!$C$26 / 100*AM50/ 100,2)</f>
        <v>0</v>
      </c>
      <c r="AF50" s="3"/>
      <c r="AG50" s="3" t="s">
        <v>300</v>
      </c>
      <c r="AH50" s="3" t="s">
        <v>300</v>
      </c>
      <c r="AJ50" s="3" t="s">
        <v>300</v>
      </c>
      <c r="AK50" s="1">
        <v>100</v>
      </c>
      <c r="AL50" s="1">
        <v>100</v>
      </c>
      <c r="AM50" s="2">
        <v>100</v>
      </c>
    </row>
    <row r="51" spans="1:39" ht="30" customHeight="1" x14ac:dyDescent="0.3">
      <c r="A51" s="3" t="s">
        <v>98</v>
      </c>
      <c r="B51" s="3" t="s">
        <v>91</v>
      </c>
      <c r="C51" s="3" t="s">
        <v>248</v>
      </c>
      <c r="D51" s="3" t="s">
        <v>25</v>
      </c>
      <c r="E51" s="6">
        <v>0</v>
      </c>
      <c r="F51" s="3"/>
      <c r="G51" s="6">
        <v>0</v>
      </c>
      <c r="H51" s="3"/>
      <c r="I51" s="6">
        <v>0</v>
      </c>
      <c r="J51" s="3"/>
      <c r="K51" s="6">
        <v>0</v>
      </c>
      <c r="L51" s="3"/>
      <c r="M51" s="6">
        <v>0</v>
      </c>
      <c r="N51" s="3"/>
      <c r="O51" s="1">
        <v>8750</v>
      </c>
      <c r="P51" s="3" t="s">
        <v>195</v>
      </c>
      <c r="Q51" s="6">
        <v>0</v>
      </c>
      <c r="R51" s="3"/>
      <c r="S51" s="6">
        <v>0</v>
      </c>
      <c r="T51" s="3"/>
      <c r="U51" s="6">
        <f>ROUND(IF(MIN(E51,G51,I51,K51,M51,O51,Q51,S51)&lt;0, MIN(E51,G51,I51,K51,M51,O51,Q51,S51), SMALL(E51:T51,COUNTIF(E51:T51,0)+1)) * 공사설정!$C$24 / 100*AK51/ 100, 2)</f>
        <v>8750</v>
      </c>
      <c r="V51" s="6">
        <f>ROUND(0 * 공사설정!$C$25 / 100*AL51/ 100,2)</f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f>ROUND(IF(MIN(W51:AD51)=AVERAGE(W51:AD51), 0, IF(MIN(W51:AD51)&lt;0, MIN(W51:AD51), SMALL(W51:AD51,COUNTIF(W51:AD51,0)+1))) * 공사설정!$C$26 / 100*AM51/ 100,2)</f>
        <v>0</v>
      </c>
      <c r="AF51" s="3"/>
      <c r="AG51" s="3" t="s">
        <v>300</v>
      </c>
      <c r="AH51" s="3" t="s">
        <v>300</v>
      </c>
      <c r="AJ51" s="3" t="s">
        <v>300</v>
      </c>
      <c r="AK51" s="1">
        <v>100</v>
      </c>
      <c r="AL51" s="1">
        <v>100</v>
      </c>
      <c r="AM51" s="2">
        <v>100</v>
      </c>
    </row>
    <row r="52" spans="1:39" ht="30" customHeight="1" x14ac:dyDescent="0.3">
      <c r="A52" s="3" t="s">
        <v>89</v>
      </c>
      <c r="B52" s="3" t="s">
        <v>243</v>
      </c>
      <c r="C52" s="3" t="s">
        <v>1</v>
      </c>
      <c r="D52" s="3" t="s">
        <v>25</v>
      </c>
      <c r="E52" s="6">
        <v>0</v>
      </c>
      <c r="F52" s="3"/>
      <c r="G52" s="6">
        <v>0</v>
      </c>
      <c r="H52" s="3"/>
      <c r="I52" s="6">
        <v>0</v>
      </c>
      <c r="J52" s="3"/>
      <c r="K52" s="6">
        <v>0</v>
      </c>
      <c r="L52" s="3"/>
      <c r="M52" s="6">
        <v>0</v>
      </c>
      <c r="N52" s="3"/>
      <c r="O52" s="1">
        <v>130000</v>
      </c>
      <c r="P52" s="3"/>
      <c r="Q52" s="6">
        <v>0</v>
      </c>
      <c r="R52" s="3"/>
      <c r="S52" s="6">
        <v>0</v>
      </c>
      <c r="T52" s="3"/>
      <c r="U52" s="6">
        <f>ROUND(IF(MIN(E52,G52,I52,K52,M52,O52,Q52,S52)&lt;0, MIN(E52,G52,I52,K52,M52,O52,Q52,S52), SMALL(E52:T52,COUNTIF(E52:T52,0)+1)) * 공사설정!$C$24 / 100*AK52/ 100, 2)</f>
        <v>130000</v>
      </c>
      <c r="V52" s="6">
        <f>ROUND(0 * 공사설정!$C$25 / 100*AL52/ 100,2)</f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f>ROUND(IF(MIN(W52:AD52)=AVERAGE(W52:AD52), 0, IF(MIN(W52:AD52)&lt;0, MIN(W52:AD52), SMALL(W52:AD52,COUNTIF(W52:AD52,0)+1))) * 공사설정!$C$26 / 100*AM52/ 100,2)</f>
        <v>0</v>
      </c>
      <c r="AF52" s="3"/>
      <c r="AG52" s="3" t="s">
        <v>300</v>
      </c>
      <c r="AH52" s="3" t="s">
        <v>300</v>
      </c>
      <c r="AJ52" s="3" t="s">
        <v>300</v>
      </c>
      <c r="AK52" s="1">
        <v>100</v>
      </c>
      <c r="AL52" s="1">
        <v>100</v>
      </c>
      <c r="AM52" s="2">
        <v>100</v>
      </c>
    </row>
    <row r="53" spans="1:39" ht="30" customHeight="1" x14ac:dyDescent="0.3">
      <c r="A53" s="3" t="s">
        <v>228</v>
      </c>
      <c r="B53" s="3" t="s">
        <v>106</v>
      </c>
      <c r="C53" s="3" t="s">
        <v>53</v>
      </c>
      <c r="D53" s="3" t="s">
        <v>25</v>
      </c>
      <c r="E53" s="6">
        <v>0</v>
      </c>
      <c r="F53" s="3"/>
      <c r="G53" s="6">
        <v>0</v>
      </c>
      <c r="H53" s="3"/>
      <c r="I53" s="6">
        <v>0</v>
      </c>
      <c r="J53" s="3"/>
      <c r="K53" s="6">
        <v>0</v>
      </c>
      <c r="L53" s="3"/>
      <c r="M53" s="6">
        <v>0</v>
      </c>
      <c r="N53" s="3"/>
      <c r="O53" s="1">
        <v>35000</v>
      </c>
      <c r="P53" s="3"/>
      <c r="Q53" s="6">
        <v>0</v>
      </c>
      <c r="R53" s="3"/>
      <c r="S53" s="6">
        <v>0</v>
      </c>
      <c r="T53" s="3"/>
      <c r="U53" s="6">
        <f>ROUND(IF(MIN(E53,G53,I53,K53,M53,O53,Q53,S53)&lt;0, MIN(E53,G53,I53,K53,M53,O53,Q53,S53), SMALL(E53:T53,COUNTIF(E53:T53,0)+1)) * 공사설정!$C$24 / 100*AK53/ 100, 2)</f>
        <v>35000</v>
      </c>
      <c r="V53" s="6">
        <f>ROUND(0 * 공사설정!$C$25 / 100*AL53/ 100,2)</f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f>ROUND(IF(MIN(W53:AD53)=AVERAGE(W53:AD53), 0, IF(MIN(W53:AD53)&lt;0, MIN(W53:AD53), SMALL(W53:AD53,COUNTIF(W53:AD53,0)+1))) * 공사설정!$C$26 / 100*AM53/ 100,2)</f>
        <v>0</v>
      </c>
      <c r="AF53" s="3"/>
      <c r="AG53" s="3" t="s">
        <v>300</v>
      </c>
      <c r="AH53" s="3" t="s">
        <v>300</v>
      </c>
      <c r="AJ53" s="3" t="s">
        <v>300</v>
      </c>
      <c r="AK53" s="1">
        <v>100</v>
      </c>
      <c r="AL53" s="1">
        <v>100</v>
      </c>
      <c r="AM53" s="2">
        <v>100</v>
      </c>
    </row>
    <row r="54" spans="1:39" ht="30" customHeight="1" x14ac:dyDescent="0.3">
      <c r="A54" s="3" t="s">
        <v>273</v>
      </c>
      <c r="B54" s="3" t="s">
        <v>261</v>
      </c>
      <c r="C54" s="3" t="s">
        <v>219</v>
      </c>
      <c r="D54" s="3" t="s">
        <v>333</v>
      </c>
      <c r="E54" s="6">
        <v>0</v>
      </c>
      <c r="F54" s="3" t="s">
        <v>300</v>
      </c>
      <c r="G54" s="6">
        <v>0</v>
      </c>
      <c r="H54" s="3" t="s">
        <v>300</v>
      </c>
      <c r="I54" s="6">
        <v>0</v>
      </c>
      <c r="J54" s="3"/>
      <c r="K54" s="6">
        <v>0</v>
      </c>
      <c r="L54" s="3" t="s">
        <v>300</v>
      </c>
      <c r="M54" s="6">
        <v>0</v>
      </c>
      <c r="N54" s="3"/>
      <c r="O54" s="6">
        <v>0</v>
      </c>
      <c r="P54" s="3" t="s">
        <v>300</v>
      </c>
      <c r="Q54" s="6">
        <v>0</v>
      </c>
      <c r="R54" s="3"/>
      <c r="S54" s="6">
        <v>0</v>
      </c>
      <c r="T54" s="3" t="s">
        <v>300</v>
      </c>
      <c r="U54" s="6">
        <f t="shared" ref="U54:U63" si="0">0*AK54/ 100</f>
        <v>0</v>
      </c>
      <c r="V54" s="6">
        <f>ROUND(165545 * 공사설정!$C$25 / 100*AL54/ 100,2)</f>
        <v>165545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f>ROUND(IF(MIN(W54:AD54)=AVERAGE(W54:AD54), 0, IF(MIN(W54:AD54)&lt;0, MIN(W54:AD54), SMALL(W54:AD54,COUNTIF(W54:AD54,0)+1))) * 공사설정!$C$26 / 100*AM54/ 100,2)</f>
        <v>0</v>
      </c>
      <c r="AF54" s="3" t="s">
        <v>300</v>
      </c>
      <c r="AG54" s="3" t="s">
        <v>232</v>
      </c>
      <c r="AH54" s="3" t="s">
        <v>300</v>
      </c>
      <c r="AJ54" s="3" t="s">
        <v>245</v>
      </c>
      <c r="AK54" s="1">
        <v>100</v>
      </c>
      <c r="AL54" s="1">
        <v>100</v>
      </c>
      <c r="AM54" s="2">
        <v>100</v>
      </c>
    </row>
    <row r="55" spans="1:39" ht="30" customHeight="1" x14ac:dyDescent="0.3">
      <c r="A55" s="3" t="s">
        <v>225</v>
      </c>
      <c r="B55" s="3" t="s">
        <v>37</v>
      </c>
      <c r="C55" s="3" t="s">
        <v>219</v>
      </c>
      <c r="D55" s="3" t="s">
        <v>333</v>
      </c>
      <c r="E55" s="6">
        <v>0</v>
      </c>
      <c r="F55" s="3" t="s">
        <v>300</v>
      </c>
      <c r="G55" s="6">
        <v>0</v>
      </c>
      <c r="H55" s="3" t="s">
        <v>300</v>
      </c>
      <c r="I55" s="6">
        <v>0</v>
      </c>
      <c r="J55" s="3"/>
      <c r="K55" s="6">
        <v>0</v>
      </c>
      <c r="L55" s="3" t="s">
        <v>300</v>
      </c>
      <c r="M55" s="6">
        <v>0</v>
      </c>
      <c r="N55" s="3"/>
      <c r="O55" s="6">
        <v>0</v>
      </c>
      <c r="P55" s="3" t="s">
        <v>300</v>
      </c>
      <c r="Q55" s="6">
        <v>0</v>
      </c>
      <c r="R55" s="3"/>
      <c r="S55" s="6">
        <v>0</v>
      </c>
      <c r="T55" s="3" t="s">
        <v>300</v>
      </c>
      <c r="U55" s="6">
        <f t="shared" si="0"/>
        <v>0</v>
      </c>
      <c r="V55" s="6">
        <f>ROUND(214222 * 공사설정!$C$25 / 100*AL55/ 100,2)</f>
        <v>214222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f>ROUND(IF(MIN(W55:AD55)=AVERAGE(W55:AD55), 0, IF(MIN(W55:AD55)&lt;0, MIN(W55:AD55), SMALL(W55:AD55,COUNTIF(W55:AD55,0)+1))) * 공사설정!$C$26 / 100*AM55/ 100,2)</f>
        <v>0</v>
      </c>
      <c r="AF55" s="3" t="s">
        <v>300</v>
      </c>
      <c r="AG55" s="3" t="s">
        <v>232</v>
      </c>
      <c r="AH55" s="3" t="s">
        <v>300</v>
      </c>
      <c r="AJ55" s="3" t="s">
        <v>245</v>
      </c>
      <c r="AK55" s="1">
        <v>100</v>
      </c>
      <c r="AL55" s="1">
        <v>100</v>
      </c>
      <c r="AM55" s="2">
        <v>100</v>
      </c>
    </row>
    <row r="56" spans="1:39" ht="30" customHeight="1" x14ac:dyDescent="0.3">
      <c r="A56" s="3" t="s">
        <v>256</v>
      </c>
      <c r="B56" s="3" t="s">
        <v>83</v>
      </c>
      <c r="C56" s="3" t="s">
        <v>219</v>
      </c>
      <c r="D56" s="3" t="s">
        <v>333</v>
      </c>
      <c r="E56" s="6">
        <v>0</v>
      </c>
      <c r="F56" s="3" t="s">
        <v>300</v>
      </c>
      <c r="G56" s="6">
        <v>0</v>
      </c>
      <c r="H56" s="3" t="s">
        <v>300</v>
      </c>
      <c r="I56" s="6">
        <v>0</v>
      </c>
      <c r="J56" s="3"/>
      <c r="K56" s="6">
        <v>0</v>
      </c>
      <c r="L56" s="3" t="s">
        <v>300</v>
      </c>
      <c r="M56" s="6">
        <v>0</v>
      </c>
      <c r="N56" s="3"/>
      <c r="O56" s="6">
        <v>0</v>
      </c>
      <c r="P56" s="3" t="s">
        <v>300</v>
      </c>
      <c r="Q56" s="6">
        <v>0</v>
      </c>
      <c r="R56" s="3"/>
      <c r="S56" s="6">
        <v>0</v>
      </c>
      <c r="T56" s="3" t="s">
        <v>300</v>
      </c>
      <c r="U56" s="6">
        <f t="shared" si="0"/>
        <v>0</v>
      </c>
      <c r="V56" s="6">
        <f>ROUND(229326 * 공사설정!$C$25 / 100*AL56/ 100,2)</f>
        <v>229326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  <c r="AE56" s="6">
        <f>ROUND(IF(MIN(W56:AD56)=AVERAGE(W56:AD56), 0, IF(MIN(W56:AD56)&lt;0, MIN(W56:AD56), SMALL(W56:AD56,COUNTIF(W56:AD56,0)+1))) * 공사설정!$C$26 / 100*AM56/ 100,2)</f>
        <v>0</v>
      </c>
      <c r="AF56" s="3" t="s">
        <v>300</v>
      </c>
      <c r="AG56" s="3" t="s">
        <v>232</v>
      </c>
      <c r="AH56" s="3" t="s">
        <v>300</v>
      </c>
      <c r="AJ56" s="3" t="s">
        <v>300</v>
      </c>
      <c r="AK56" s="1">
        <v>100</v>
      </c>
      <c r="AL56" s="1">
        <v>100</v>
      </c>
      <c r="AM56" s="2">
        <v>100</v>
      </c>
    </row>
    <row r="57" spans="1:39" ht="30" customHeight="1" x14ac:dyDescent="0.3">
      <c r="A57" s="3" t="s">
        <v>190</v>
      </c>
      <c r="B57" s="3" t="s">
        <v>115</v>
      </c>
      <c r="C57" s="3" t="s">
        <v>219</v>
      </c>
      <c r="D57" s="3" t="s">
        <v>333</v>
      </c>
      <c r="E57" s="6">
        <v>0</v>
      </c>
      <c r="F57" s="3" t="s">
        <v>300</v>
      </c>
      <c r="G57" s="6">
        <v>0</v>
      </c>
      <c r="H57" s="3" t="s">
        <v>300</v>
      </c>
      <c r="I57" s="6">
        <v>0</v>
      </c>
      <c r="J57" s="3"/>
      <c r="K57" s="6">
        <v>0</v>
      </c>
      <c r="L57" s="3" t="s">
        <v>300</v>
      </c>
      <c r="M57" s="6">
        <v>0</v>
      </c>
      <c r="N57" s="3"/>
      <c r="O57" s="6">
        <v>0</v>
      </c>
      <c r="P57" s="3" t="s">
        <v>300</v>
      </c>
      <c r="Q57" s="6">
        <v>0</v>
      </c>
      <c r="R57" s="3"/>
      <c r="S57" s="6">
        <v>0</v>
      </c>
      <c r="T57" s="3" t="s">
        <v>300</v>
      </c>
      <c r="U57" s="6">
        <f t="shared" si="0"/>
        <v>0</v>
      </c>
      <c r="V57" s="6">
        <f>ROUND(268058 * 공사설정!$C$25 / 100*AL57/ 100,2)</f>
        <v>268058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6">
        <f>ROUND(IF(MIN(W57:AD57)=AVERAGE(W57:AD57), 0, IF(MIN(W57:AD57)&lt;0, MIN(W57:AD57), SMALL(W57:AD57,COUNTIF(W57:AD57,0)+1))) * 공사설정!$C$26 / 100*AM57/ 100,2)</f>
        <v>0</v>
      </c>
      <c r="AF57" s="3" t="s">
        <v>300</v>
      </c>
      <c r="AG57" s="3" t="s">
        <v>232</v>
      </c>
      <c r="AH57" s="3" t="s">
        <v>300</v>
      </c>
      <c r="AJ57" s="3" t="s">
        <v>245</v>
      </c>
      <c r="AK57" s="1">
        <v>100</v>
      </c>
      <c r="AL57" s="1">
        <v>100</v>
      </c>
      <c r="AM57" s="2">
        <v>100</v>
      </c>
    </row>
    <row r="58" spans="1:39" ht="30" customHeight="1" x14ac:dyDescent="0.3">
      <c r="A58" s="3" t="s">
        <v>177</v>
      </c>
      <c r="B58" s="3" t="s">
        <v>284</v>
      </c>
      <c r="C58" s="3" t="s">
        <v>219</v>
      </c>
      <c r="D58" s="3" t="s">
        <v>333</v>
      </c>
      <c r="E58" s="6">
        <v>0</v>
      </c>
      <c r="F58" s="3" t="s">
        <v>300</v>
      </c>
      <c r="G58" s="6">
        <v>0</v>
      </c>
      <c r="H58" s="3" t="s">
        <v>300</v>
      </c>
      <c r="I58" s="6">
        <v>0</v>
      </c>
      <c r="J58" s="3"/>
      <c r="K58" s="6">
        <v>0</v>
      </c>
      <c r="L58" s="3" t="s">
        <v>300</v>
      </c>
      <c r="M58" s="6">
        <v>0</v>
      </c>
      <c r="N58" s="3"/>
      <c r="O58" s="6">
        <v>0</v>
      </c>
      <c r="P58" s="3" t="s">
        <v>300</v>
      </c>
      <c r="Q58" s="6">
        <v>0</v>
      </c>
      <c r="R58" s="3"/>
      <c r="S58" s="6">
        <v>0</v>
      </c>
      <c r="T58" s="3" t="s">
        <v>300</v>
      </c>
      <c r="U58" s="6">
        <f t="shared" si="0"/>
        <v>0</v>
      </c>
      <c r="V58" s="6">
        <f>ROUND(250776 * 공사설정!$C$25 / 100*AL58/ 100,2)</f>
        <v>250776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  <c r="AE58" s="6">
        <f>ROUND(IF(MIN(W58:AD58)=AVERAGE(W58:AD58), 0, IF(MIN(W58:AD58)&lt;0, MIN(W58:AD58), SMALL(W58:AD58,COUNTIF(W58:AD58,0)+1))) * 공사설정!$C$26 / 100*AM58/ 100,2)</f>
        <v>0</v>
      </c>
      <c r="AF58" s="3" t="s">
        <v>300</v>
      </c>
      <c r="AG58" s="3" t="s">
        <v>232</v>
      </c>
      <c r="AH58" s="3" t="s">
        <v>300</v>
      </c>
      <c r="AJ58" s="3" t="s">
        <v>245</v>
      </c>
      <c r="AK58" s="1">
        <v>100</v>
      </c>
      <c r="AL58" s="1">
        <v>100</v>
      </c>
      <c r="AM58" s="2">
        <v>100</v>
      </c>
    </row>
    <row r="59" spans="1:39" ht="30" customHeight="1" x14ac:dyDescent="0.3">
      <c r="A59" s="3" t="s">
        <v>45</v>
      </c>
      <c r="B59" s="3" t="s">
        <v>328</v>
      </c>
      <c r="C59" s="3" t="s">
        <v>219</v>
      </c>
      <c r="D59" s="3" t="s">
        <v>333</v>
      </c>
      <c r="E59" s="6">
        <v>0</v>
      </c>
      <c r="F59" s="3" t="s">
        <v>300</v>
      </c>
      <c r="G59" s="6">
        <v>0</v>
      </c>
      <c r="H59" s="3" t="s">
        <v>300</v>
      </c>
      <c r="I59" s="6">
        <v>0</v>
      </c>
      <c r="J59" s="3"/>
      <c r="K59" s="6">
        <v>0</v>
      </c>
      <c r="L59" s="3" t="s">
        <v>300</v>
      </c>
      <c r="M59" s="6">
        <v>0</v>
      </c>
      <c r="N59" s="3"/>
      <c r="O59" s="6">
        <v>0</v>
      </c>
      <c r="P59" s="3" t="s">
        <v>300</v>
      </c>
      <c r="Q59" s="6">
        <v>0</v>
      </c>
      <c r="R59" s="3"/>
      <c r="S59" s="6">
        <v>0</v>
      </c>
      <c r="T59" s="3" t="s">
        <v>300</v>
      </c>
      <c r="U59" s="6">
        <f t="shared" si="0"/>
        <v>0</v>
      </c>
      <c r="V59" s="6">
        <f>ROUND(243538 * 공사설정!$C$25 / 100*AL59/ 100,2)</f>
        <v>243538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  <c r="AE59" s="6">
        <f>ROUND(IF(MIN(W59:AD59)=AVERAGE(W59:AD59), 0, IF(MIN(W59:AD59)&lt;0, MIN(W59:AD59), SMALL(W59:AD59,COUNTIF(W59:AD59,0)+1))) * 공사설정!$C$26 / 100*AM59/ 100,2)</f>
        <v>0</v>
      </c>
      <c r="AF59" s="3" t="s">
        <v>300</v>
      </c>
      <c r="AG59" s="3" t="s">
        <v>232</v>
      </c>
      <c r="AH59" s="3" t="s">
        <v>300</v>
      </c>
      <c r="AJ59" s="3" t="s">
        <v>245</v>
      </c>
      <c r="AK59" s="1">
        <v>100</v>
      </c>
      <c r="AL59" s="1">
        <v>100</v>
      </c>
      <c r="AM59" s="2">
        <v>100</v>
      </c>
    </row>
    <row r="60" spans="1:39" ht="30" customHeight="1" x14ac:dyDescent="0.3">
      <c r="A60" s="3" t="s">
        <v>97</v>
      </c>
      <c r="B60" s="3" t="s">
        <v>109</v>
      </c>
      <c r="C60" s="3" t="s">
        <v>143</v>
      </c>
      <c r="D60" s="3" t="s">
        <v>156</v>
      </c>
      <c r="E60" s="6">
        <v>0</v>
      </c>
      <c r="F60" s="3" t="s">
        <v>300</v>
      </c>
      <c r="G60" s="6">
        <v>0</v>
      </c>
      <c r="H60" s="3" t="s">
        <v>300</v>
      </c>
      <c r="I60" s="6">
        <v>0</v>
      </c>
      <c r="J60" s="3"/>
      <c r="K60" s="6">
        <v>0</v>
      </c>
      <c r="L60" s="3" t="s">
        <v>300</v>
      </c>
      <c r="M60" s="6">
        <v>0</v>
      </c>
      <c r="N60" s="3"/>
      <c r="O60" s="6">
        <v>0</v>
      </c>
      <c r="P60" s="3" t="s">
        <v>300</v>
      </c>
      <c r="Q60" s="6">
        <v>0</v>
      </c>
      <c r="R60" s="3"/>
      <c r="S60" s="6">
        <v>0</v>
      </c>
      <c r="T60" s="3" t="s">
        <v>300</v>
      </c>
      <c r="U60" s="6">
        <f t="shared" si="0"/>
        <v>0</v>
      </c>
      <c r="V60" s="6">
        <f>ROUND(0 * 공사설정!$C$25 / 100*AL60/ 100,2)</f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1">
        <v>170497</v>
      </c>
      <c r="AC60" s="6">
        <v>0</v>
      </c>
      <c r="AD60" s="6">
        <v>0</v>
      </c>
      <c r="AE60" s="6">
        <f>ROUND(IF(MIN(W60:AD60)&lt;0, MIN(W60:AD60), SMALL(W60:AD60,COUNTIF(W60:AD60,0)+1)) * 공사설정!$C$26 / 100*AM60/ 100,2)</f>
        <v>170497</v>
      </c>
      <c r="AF60" s="3" t="s">
        <v>300</v>
      </c>
      <c r="AG60" s="3" t="s">
        <v>134</v>
      </c>
      <c r="AH60" s="3" t="s">
        <v>300</v>
      </c>
      <c r="AJ60" s="3" t="s">
        <v>300</v>
      </c>
      <c r="AK60" s="1">
        <v>100</v>
      </c>
      <c r="AL60" s="1">
        <v>100</v>
      </c>
      <c r="AM60" s="2">
        <v>100</v>
      </c>
    </row>
    <row r="61" spans="1:39" ht="30" customHeight="1" x14ac:dyDescent="0.3">
      <c r="A61" s="3" t="s">
        <v>262</v>
      </c>
      <c r="B61" s="3" t="s">
        <v>86</v>
      </c>
      <c r="C61" s="3" t="s">
        <v>300</v>
      </c>
      <c r="D61" s="3" t="s">
        <v>156</v>
      </c>
      <c r="E61" s="6">
        <v>0</v>
      </c>
      <c r="F61" s="3" t="s">
        <v>300</v>
      </c>
      <c r="G61" s="6">
        <v>0</v>
      </c>
      <c r="H61" s="3" t="s">
        <v>300</v>
      </c>
      <c r="I61" s="6">
        <v>0</v>
      </c>
      <c r="J61" s="3"/>
      <c r="K61" s="6">
        <v>0</v>
      </c>
      <c r="L61" s="3" t="s">
        <v>289</v>
      </c>
      <c r="M61" s="6">
        <v>0</v>
      </c>
      <c r="N61" s="3"/>
      <c r="O61" s="6">
        <v>0</v>
      </c>
      <c r="P61" s="3" t="s">
        <v>360</v>
      </c>
      <c r="Q61" s="6">
        <v>0</v>
      </c>
      <c r="R61" s="3"/>
      <c r="S61" s="6">
        <v>0</v>
      </c>
      <c r="T61" s="3" t="s">
        <v>300</v>
      </c>
      <c r="U61" s="6">
        <f t="shared" si="0"/>
        <v>0</v>
      </c>
      <c r="V61" s="6">
        <f>ROUND(0 * 공사설정!$C$25 / 100*AL61/ 100,2)</f>
        <v>0</v>
      </c>
      <c r="W61" s="6">
        <v>0</v>
      </c>
      <c r="X61" s="6">
        <v>0</v>
      </c>
      <c r="Y61" s="6">
        <v>0</v>
      </c>
      <c r="Z61" s="1">
        <v>230000</v>
      </c>
      <c r="AA61" s="6">
        <v>0</v>
      </c>
      <c r="AB61" s="6">
        <v>0</v>
      </c>
      <c r="AC61" s="6">
        <v>0</v>
      </c>
      <c r="AD61" s="6">
        <v>0</v>
      </c>
      <c r="AE61" s="6">
        <f>ROUND(IF(MIN(W61:AD61)&lt;0, MIN(W61:AD61), SMALL(W61:AD61,COUNTIF(W61:AD61,0)+1)) * 공사설정!$C$26 / 100*AM61/ 100,2)</f>
        <v>230000</v>
      </c>
      <c r="AF61" s="3" t="s">
        <v>300</v>
      </c>
      <c r="AG61" s="3" t="s">
        <v>134</v>
      </c>
      <c r="AH61" s="3" t="s">
        <v>300</v>
      </c>
      <c r="AJ61" s="3" t="s">
        <v>300</v>
      </c>
      <c r="AK61" s="1">
        <v>100</v>
      </c>
      <c r="AL61" s="1">
        <v>100</v>
      </c>
      <c r="AM61" s="2">
        <v>100</v>
      </c>
    </row>
    <row r="62" spans="1:39" ht="30" customHeight="1" x14ac:dyDescent="0.3">
      <c r="A62" s="3" t="s">
        <v>116</v>
      </c>
      <c r="B62" s="3" t="s">
        <v>172</v>
      </c>
      <c r="C62" s="3" t="s">
        <v>306</v>
      </c>
      <c r="D62" s="3" t="s">
        <v>286</v>
      </c>
      <c r="E62" s="6">
        <v>0</v>
      </c>
      <c r="F62" s="3" t="s">
        <v>300</v>
      </c>
      <c r="G62" s="6">
        <v>0</v>
      </c>
      <c r="H62" s="3" t="s">
        <v>300</v>
      </c>
      <c r="I62" s="6">
        <v>0</v>
      </c>
      <c r="J62" s="3"/>
      <c r="K62" s="6">
        <v>0</v>
      </c>
      <c r="L62" s="3" t="s">
        <v>300</v>
      </c>
      <c r="M62" s="6">
        <v>0</v>
      </c>
      <c r="N62" s="3" t="s">
        <v>300</v>
      </c>
      <c r="O62" s="6">
        <v>0</v>
      </c>
      <c r="P62" s="3" t="s">
        <v>300</v>
      </c>
      <c r="Q62" s="6">
        <v>0</v>
      </c>
      <c r="R62" s="3"/>
      <c r="S62" s="6">
        <v>0</v>
      </c>
      <c r="T62" s="3" t="s">
        <v>300</v>
      </c>
      <c r="U62" s="6">
        <f t="shared" si="0"/>
        <v>0</v>
      </c>
      <c r="V62" s="6">
        <f>ROUND(0 * 공사설정!$C$25 / 100*AL62/ 100,2)</f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1">
        <v>21390</v>
      </c>
      <c r="AD62" s="6">
        <v>0</v>
      </c>
      <c r="AE62" s="6">
        <f>ROUND(IF(MIN(W62:AD62)&lt;0, MIN(W62:AD62), SMALL(W62:AD62,COUNTIF(W62:AD62,0)+1)) * 공사설정!$C$26 / 100*AM62/ 100,2)</f>
        <v>21390</v>
      </c>
      <c r="AF62" s="3" t="s">
        <v>300</v>
      </c>
      <c r="AG62" s="3" t="s">
        <v>134</v>
      </c>
      <c r="AH62" s="3" t="s">
        <v>300</v>
      </c>
      <c r="AJ62" s="3" t="s">
        <v>300</v>
      </c>
      <c r="AK62" s="1">
        <v>100</v>
      </c>
      <c r="AL62" s="1">
        <v>100</v>
      </c>
      <c r="AM62" s="2">
        <v>100</v>
      </c>
    </row>
    <row r="63" spans="1:39" ht="30" customHeight="1" x14ac:dyDescent="0.3">
      <c r="A63" s="3" t="s">
        <v>224</v>
      </c>
      <c r="B63" s="3" t="s">
        <v>48</v>
      </c>
      <c r="C63" s="3" t="s">
        <v>33</v>
      </c>
      <c r="D63" s="3" t="s">
        <v>286</v>
      </c>
      <c r="E63" s="6">
        <v>0</v>
      </c>
      <c r="F63" s="3" t="s">
        <v>300</v>
      </c>
      <c r="G63" s="6">
        <v>0</v>
      </c>
      <c r="H63" s="3" t="s">
        <v>300</v>
      </c>
      <c r="I63" s="6">
        <v>0</v>
      </c>
      <c r="J63" s="3"/>
      <c r="K63" s="6">
        <v>0</v>
      </c>
      <c r="L63" s="3" t="s">
        <v>300</v>
      </c>
      <c r="M63" s="6">
        <v>0</v>
      </c>
      <c r="N63" s="3" t="s">
        <v>300</v>
      </c>
      <c r="O63" s="6">
        <v>0</v>
      </c>
      <c r="P63" s="3" t="s">
        <v>300</v>
      </c>
      <c r="Q63" s="6">
        <v>0</v>
      </c>
      <c r="R63" s="3"/>
      <c r="S63" s="6">
        <v>0</v>
      </c>
      <c r="T63" s="3" t="s">
        <v>300</v>
      </c>
      <c r="U63" s="6">
        <f t="shared" si="0"/>
        <v>0</v>
      </c>
      <c r="V63" s="6">
        <f>ROUND(0 * 공사설정!$C$25 / 100*AL63/ 100,2)</f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1">
        <v>62500</v>
      </c>
      <c r="AD63" s="6">
        <v>0</v>
      </c>
      <c r="AE63" s="6">
        <f>ROUND(IF(MIN(W63:AD63)&lt;0, MIN(W63:AD63), SMALL(W63:AD63,COUNTIF(W63:AD63,0)+1)) * 공사설정!$C$26 / 100*AM63/ 100,2)</f>
        <v>62500</v>
      </c>
      <c r="AF63" s="3" t="s">
        <v>300</v>
      </c>
      <c r="AG63" s="3" t="s">
        <v>134</v>
      </c>
      <c r="AH63" s="3" t="s">
        <v>300</v>
      </c>
      <c r="AJ63" s="3" t="s">
        <v>300</v>
      </c>
      <c r="AK63" s="1">
        <v>100</v>
      </c>
      <c r="AL63" s="1">
        <v>100</v>
      </c>
      <c r="AM63" s="2">
        <v>100</v>
      </c>
    </row>
  </sheetData>
  <mergeCells count="17">
    <mergeCell ref="A1:AF1"/>
    <mergeCell ref="A2:AF2"/>
    <mergeCell ref="A3:A4"/>
    <mergeCell ref="B3:B4"/>
    <mergeCell ref="C3:C4"/>
    <mergeCell ref="D3:D4"/>
    <mergeCell ref="E3:U3"/>
    <mergeCell ref="V3:V4"/>
    <mergeCell ref="W3:AE3"/>
    <mergeCell ref="AF3:AF4"/>
    <mergeCell ref="AL3:AL4"/>
    <mergeCell ref="AM3:AM4"/>
    <mergeCell ref="AG3:AG4"/>
    <mergeCell ref="AH3:AH4"/>
    <mergeCell ref="AI3:AI4"/>
    <mergeCell ref="AJ3:AJ4"/>
    <mergeCell ref="AK3:AK4"/>
  </mergeCells>
  <phoneticPr fontId="6" type="noConversion"/>
  <pageMargins left="0.78740157480314954" right="0" top="0.39370078740157477" bottom="0.37735849056603776" header="0" footer="0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/>
  </sheetPr>
  <dimension ref="A1:N26"/>
  <sheetViews>
    <sheetView zoomScaleNormal="100" workbookViewId="0">
      <selection activeCell="A2" sqref="A2:AV2"/>
    </sheetView>
  </sheetViews>
  <sheetFormatPr defaultColWidth="9.125" defaultRowHeight="16.5" x14ac:dyDescent="0.3"/>
  <sheetData>
    <row r="1" spans="1:11" x14ac:dyDescent="0.3">
      <c r="A1" s="5" t="s">
        <v>165</v>
      </c>
    </row>
    <row r="2" spans="1:11" x14ac:dyDescent="0.3">
      <c r="B2" s="5" t="s">
        <v>184</v>
      </c>
      <c r="C2" s="5" t="s">
        <v>29</v>
      </c>
    </row>
    <row r="3" spans="1:11" x14ac:dyDescent="0.3">
      <c r="B3" s="5" t="s">
        <v>63</v>
      </c>
      <c r="C3" s="5" t="s">
        <v>354</v>
      </c>
    </row>
    <row r="4" spans="1:11" x14ac:dyDescent="0.3">
      <c r="B4" s="5" t="s">
        <v>34</v>
      </c>
      <c r="C4" s="5" t="s">
        <v>342</v>
      </c>
    </row>
    <row r="5" spans="1:11" x14ac:dyDescent="0.3">
      <c r="B5" s="5" t="s">
        <v>313</v>
      </c>
      <c r="C5" s="5" t="s">
        <v>342</v>
      </c>
    </row>
    <row r="6" spans="1:11" x14ac:dyDescent="0.3">
      <c r="B6" s="5" t="s">
        <v>183</v>
      </c>
      <c r="C6" s="5" t="s">
        <v>342</v>
      </c>
    </row>
    <row r="7" spans="1:11" x14ac:dyDescent="0.3">
      <c r="B7" s="5" t="s">
        <v>85</v>
      </c>
      <c r="C7" s="5" t="s">
        <v>252</v>
      </c>
    </row>
    <row r="8" spans="1:11" x14ac:dyDescent="0.3">
      <c r="B8" s="5" t="s">
        <v>201</v>
      </c>
      <c r="C8" s="5" t="s">
        <v>134</v>
      </c>
      <c r="D8" s="7">
        <v>1</v>
      </c>
    </row>
    <row r="9" spans="1:11" x14ac:dyDescent="0.3">
      <c r="B9" s="5" t="s">
        <v>137</v>
      </c>
      <c r="C9" s="5" t="s">
        <v>134</v>
      </c>
      <c r="D9" s="7">
        <v>3</v>
      </c>
    </row>
    <row r="10" spans="1:11" x14ac:dyDescent="0.3">
      <c r="B10" s="5" t="s">
        <v>90</v>
      </c>
      <c r="C10" s="5" t="s">
        <v>355</v>
      </c>
      <c r="D10" s="5" t="s">
        <v>235</v>
      </c>
      <c r="E10" s="5" t="s">
        <v>275</v>
      </c>
      <c r="F10" s="5" t="s">
        <v>3</v>
      </c>
      <c r="G10" s="5" t="s">
        <v>105</v>
      </c>
      <c r="H10" s="5" t="s">
        <v>24</v>
      </c>
      <c r="I10" s="5" t="s">
        <v>112</v>
      </c>
      <c r="J10" s="5" t="s">
        <v>176</v>
      </c>
      <c r="K10" s="5" t="s">
        <v>80</v>
      </c>
    </row>
    <row r="11" spans="1:11" x14ac:dyDescent="0.3">
      <c r="B11" s="5" t="s">
        <v>351</v>
      </c>
      <c r="C11" s="7">
        <v>1071.0999999999999</v>
      </c>
      <c r="D11" s="7">
        <v>0</v>
      </c>
      <c r="E11" s="7">
        <v>0</v>
      </c>
    </row>
    <row r="12" spans="1:11" x14ac:dyDescent="0.3">
      <c r="B12" s="5" t="s">
        <v>350</v>
      </c>
      <c r="C12" s="5" t="s">
        <v>211</v>
      </c>
      <c r="D12" s="7">
        <v>5</v>
      </c>
    </row>
    <row r="13" spans="1:11" x14ac:dyDescent="0.3">
      <c r="B13" s="5" t="s">
        <v>196</v>
      </c>
      <c r="C13" s="5" t="s">
        <v>211</v>
      </c>
      <c r="D13" s="7">
        <v>5</v>
      </c>
    </row>
    <row r="14" spans="1:11" x14ac:dyDescent="0.3">
      <c r="B14" s="5" t="s">
        <v>139</v>
      </c>
      <c r="C14" s="5" t="s">
        <v>211</v>
      </c>
      <c r="D14" s="7">
        <v>4</v>
      </c>
    </row>
    <row r="15" spans="1:11" x14ac:dyDescent="0.3">
      <c r="B15" s="5" t="s">
        <v>285</v>
      </c>
      <c r="C15" s="5" t="s">
        <v>134</v>
      </c>
      <c r="D15" s="7">
        <v>6</v>
      </c>
    </row>
    <row r="16" spans="1:11" x14ac:dyDescent="0.3">
      <c r="B16" s="5" t="s">
        <v>283</v>
      </c>
      <c r="C16" s="5" t="s">
        <v>29</v>
      </c>
      <c r="D16" s="5" t="s">
        <v>147</v>
      </c>
      <c r="E16" s="5" t="s">
        <v>161</v>
      </c>
      <c r="F16" s="5" t="s">
        <v>249</v>
      </c>
      <c r="G16" s="5" t="s">
        <v>223</v>
      </c>
    </row>
    <row r="17" spans="2:14" x14ac:dyDescent="0.3">
      <c r="B17" s="5" t="s">
        <v>168</v>
      </c>
      <c r="C17" s="7">
        <v>1.1100000000000001</v>
      </c>
      <c r="D17" s="7">
        <v>1.1200000000000001</v>
      </c>
    </row>
    <row r="18" spans="2:14" x14ac:dyDescent="0.3">
      <c r="B18" s="5" t="s">
        <v>118</v>
      </c>
      <c r="C18" s="7">
        <v>1</v>
      </c>
      <c r="D18" s="7">
        <v>1.5</v>
      </c>
      <c r="E18" s="7">
        <v>1.1599999999999999</v>
      </c>
      <c r="F18" s="7">
        <v>1.6</v>
      </c>
      <c r="G18" s="7">
        <v>1.6</v>
      </c>
      <c r="H18" s="7">
        <v>1.6</v>
      </c>
      <c r="I18" s="7">
        <v>1.94</v>
      </c>
      <c r="J18" s="7">
        <v>1.94</v>
      </c>
      <c r="K18" s="7">
        <v>1.94</v>
      </c>
      <c r="L18" s="7">
        <v>1</v>
      </c>
      <c r="M18" s="7">
        <v>1</v>
      </c>
      <c r="N18" s="7">
        <v>1</v>
      </c>
    </row>
    <row r="19" spans="2:14" x14ac:dyDescent="0.3">
      <c r="B19" s="5" t="s">
        <v>340</v>
      </c>
      <c r="C19" s="7">
        <v>1.25</v>
      </c>
      <c r="D19" s="7">
        <v>1.071</v>
      </c>
    </row>
    <row r="20" spans="2:14" x14ac:dyDescent="0.3">
      <c r="B20" s="5" t="s">
        <v>357</v>
      </c>
    </row>
    <row r="21" spans="2:14" x14ac:dyDescent="0.3">
      <c r="B21" s="5" t="s">
        <v>253</v>
      </c>
      <c r="C21" s="5" t="s">
        <v>134</v>
      </c>
      <c r="D21" s="7">
        <v>1</v>
      </c>
    </row>
    <row r="22" spans="2:14" x14ac:dyDescent="0.3">
      <c r="B22" s="5" t="s">
        <v>293</v>
      </c>
      <c r="C22" s="5" t="s">
        <v>95</v>
      </c>
      <c r="D22" s="5" t="s">
        <v>146</v>
      </c>
    </row>
    <row r="23" spans="2:14" x14ac:dyDescent="0.3">
      <c r="B23" s="5" t="s">
        <v>223</v>
      </c>
      <c r="C23" s="5" t="s">
        <v>133</v>
      </c>
      <c r="D23" s="5" t="s">
        <v>133</v>
      </c>
    </row>
    <row r="24" spans="2:14" x14ac:dyDescent="0.3">
      <c r="B24" s="5" t="s">
        <v>11</v>
      </c>
      <c r="C24" s="7">
        <v>100</v>
      </c>
    </row>
    <row r="25" spans="2:14" x14ac:dyDescent="0.3">
      <c r="B25" s="5" t="s">
        <v>238</v>
      </c>
      <c r="C25" s="7">
        <v>100</v>
      </c>
    </row>
    <row r="26" spans="2:14" x14ac:dyDescent="0.3">
      <c r="B26" s="5" t="s">
        <v>229</v>
      </c>
      <c r="C26" s="7">
        <v>100</v>
      </c>
    </row>
  </sheetData>
  <phoneticPr fontId="6" type="noConversion"/>
  <pageMargins left="0.78740157480314954" right="0" top="0.39370078740157477" bottom="0.37735849056603776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10</vt:i4>
      </vt:variant>
    </vt:vector>
  </HeadingPairs>
  <TitlesOfParts>
    <vt:vector size="18" baseType="lpstr">
      <vt:lpstr>원가계산서</vt:lpstr>
      <vt:lpstr>공종별집계표</vt:lpstr>
      <vt:lpstr>공종별내역서(백은관)</vt:lpstr>
      <vt:lpstr>공종별내역서(취업지원센터)</vt:lpstr>
      <vt:lpstr>중기단가목록</vt:lpstr>
      <vt:lpstr>중기단가산출서</vt:lpstr>
      <vt:lpstr>단가대비표</vt:lpstr>
      <vt:lpstr>공사설정</vt:lpstr>
      <vt:lpstr>'공종별내역서(백은관)'!Print_Area</vt:lpstr>
      <vt:lpstr>'공종별내역서(취업지원센터)'!Print_Area</vt:lpstr>
      <vt:lpstr>공종별집계표!Print_Area</vt:lpstr>
      <vt:lpstr>원가계산서!Print_Area</vt:lpstr>
      <vt:lpstr>'공종별내역서(백은관)'!Print_Titles</vt:lpstr>
      <vt:lpstr>'공종별내역서(취업지원센터)'!Print_Titles</vt:lpstr>
      <vt:lpstr>공종별집계표!Print_Titles</vt:lpstr>
      <vt:lpstr>원가계산서!Print_Titles</vt:lpstr>
      <vt:lpstr>중기단가목록!Print_Titles</vt:lpstr>
      <vt:lpstr>중기단가산출서!Print_Titles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정훈 안</cp:lastModifiedBy>
  <cp:lastPrinted>2025-10-20T07:32:38Z</cp:lastPrinted>
  <dcterms:created xsi:type="dcterms:W3CDTF">2024-09-10T01:33:04Z</dcterms:created>
  <dcterms:modified xsi:type="dcterms:W3CDTF">2025-11-11T01:34:00Z</dcterms:modified>
</cp:coreProperties>
</file>